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embeddings/oleObject1.bin" ContentType="application/vnd.openxmlformats-officedocument.oleObject"/>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EFB4" lockStructure="1"/>
  <bookViews>
    <workbookView xWindow="0" yWindow="15" windowWidth="15360" windowHeight="12255"/>
  </bookViews>
  <sheets>
    <sheet name="WELCOME" sheetId="8" r:id="rId1"/>
    <sheet name="COST DEFINITIONS" sheetId="10" r:id="rId2"/>
    <sheet name="FLUSH PLANS" sheetId="11" r:id="rId3"/>
    <sheet name="INPUTS-OUTPUTS" sheetId="1" r:id="rId4"/>
    <sheet name="ASSUMPTIONS" sheetId="3" r:id="rId5"/>
    <sheet name="ENERGY FOOTPRINT" sheetId="13" r:id="rId6"/>
    <sheet name="OPERATING COSTS" sheetId="14" r:id="rId7"/>
    <sheet name="BUSHING FLOW" sheetId="15" r:id="rId8"/>
    <sheet name="POWER CALCULATIONS" sheetId="5" state="hidden" r:id="rId9"/>
    <sheet name="REVISION HISTORY" sheetId="17" r:id="rId10"/>
    <sheet name="4.0 REVISION HISTORY DETAIL" sheetId="16" state="hidden" r:id="rId11"/>
    <sheet name="4.1 REVISION HISTORY DETAIL" sheetId="19" state="hidden" r:id="rId12"/>
    <sheet name="Sheet1" sheetId="18" r:id="rId13"/>
  </sheets>
  <definedNames>
    <definedName name="ExchangeRate">'INPUTS-OUTPUTS'!$AD$6</definedName>
    <definedName name="_xlnm.Print_Area" localSheetId="10">'4.0 REVISION HISTORY DETAIL'!$A$1:$F$138</definedName>
    <definedName name="_xlnm.Print_Area" localSheetId="11">'4.1 REVISION HISTORY DETAIL'!$A$1:$F$11</definedName>
    <definedName name="_xlnm.Print_Area" localSheetId="4">ASSUMPTIONS!$A$2:$M$79,ASSUMPTIONS!$A$97:$M$119</definedName>
    <definedName name="_xlnm.Print_Area" localSheetId="7">'BUSHING FLOW'!$A$2:$G$61</definedName>
    <definedName name="_xlnm.Print_Area" localSheetId="1">'COST DEFINITIONS'!$A$2:$E$49</definedName>
    <definedName name="_xlnm.Print_Area" localSheetId="5">'ENERGY FOOTPRINT'!$A$2:$E$64</definedName>
    <definedName name="_xlnm.Print_Area" localSheetId="2">'FLUSH PLANS'!$A$2:$E$57</definedName>
    <definedName name="_xlnm.Print_Area" localSheetId="3">'INPUTS-OUTPUTS'!$A$2:$O$237,'INPUTS-OUTPUTS'!$A$242:$O$354</definedName>
    <definedName name="_xlnm.Print_Area" localSheetId="6">'OPERATING COSTS'!$A$2:$E$64</definedName>
    <definedName name="_xlnm.Print_Area" localSheetId="9">'REVISION HISTORY'!$A$2:$H$28</definedName>
    <definedName name="_xlnm.Print_Area" localSheetId="0">WELCOME!$A$2:$E$65</definedName>
    <definedName name="_xlnm.Print_Titles" localSheetId="4">ASSUMPTIONS!$2:$4</definedName>
    <definedName name="_xlnm.Print_Titles" localSheetId="7">'BUSHING FLOW'!$2:$105</definedName>
    <definedName name="_xlnm.Print_Titles" localSheetId="5">'ENERGY FOOTPRINT'!$2:$4</definedName>
    <definedName name="_xlnm.Print_Titles" localSheetId="2">'FLUSH PLANS'!$2:$3</definedName>
    <definedName name="_xlnm.Print_Titles" localSheetId="3">'INPUTS-OUTPUTS'!$2:$2</definedName>
    <definedName name="_xlnm.Print_Titles" localSheetId="6">'OPERATING COSTS'!$2:$4</definedName>
    <definedName name="_xlnm.Print_Titles" localSheetId="0">WELCOME!$2:$5</definedName>
    <definedName name="UnitsOfMeasure">'INPUTS-OUTPUTS'!$K$28</definedName>
  </definedNames>
  <calcPr calcId="145621"/>
</workbook>
</file>

<file path=xl/calcChain.xml><?xml version="1.0" encoding="utf-8"?>
<calcChain xmlns="http://schemas.openxmlformats.org/spreadsheetml/2006/main">
  <c r="AO223" i="1" l="1"/>
  <c r="AL223" i="1"/>
  <c r="AF223" i="1"/>
  <c r="AC223" i="1"/>
  <c r="K47" i="1" l="1"/>
  <c r="J85" i="1" l="1"/>
  <c r="O227" i="1"/>
  <c r="J225" i="1"/>
  <c r="J221" i="1"/>
  <c r="I205" i="1"/>
  <c r="I203" i="1"/>
  <c r="J205" i="1"/>
  <c r="J203" i="1"/>
  <c r="J155" i="1"/>
  <c r="J123" i="1"/>
  <c r="J101" i="1"/>
  <c r="J77" i="1"/>
  <c r="K55" i="1"/>
  <c r="O55" i="1"/>
  <c r="AL55" i="1"/>
  <c r="M227" i="1"/>
  <c r="W4" i="1"/>
  <c r="W5" i="1"/>
  <c r="W6" i="1"/>
  <c r="W7" i="1"/>
  <c r="W8" i="1"/>
  <c r="W9" i="1"/>
  <c r="W10" i="1"/>
  <c r="W11" i="1"/>
  <c r="W12" i="1"/>
  <c r="M67" i="1"/>
  <c r="K49" i="1"/>
  <c r="K53" i="1"/>
  <c r="M53" i="1" s="1"/>
  <c r="K51" i="1"/>
  <c r="K35" i="1"/>
  <c r="M35" i="1" s="1"/>
  <c r="AE8" i="1"/>
  <c r="AE7" i="1"/>
  <c r="O31" i="3"/>
  <c r="AD8" i="1" s="1"/>
  <c r="I187" i="1" s="1"/>
  <c r="K187" i="1" s="1"/>
  <c r="T187" i="1" s="1"/>
  <c r="R119" i="3"/>
  <c r="O77" i="3"/>
  <c r="AD7" i="1" s="1"/>
  <c r="K149" i="1"/>
  <c r="O149" i="1" s="1"/>
  <c r="K151" i="1"/>
  <c r="O151" i="1"/>
  <c r="K235" i="1"/>
  <c r="E23" i="3"/>
  <c r="AD9" i="1"/>
  <c r="I129" i="1"/>
  <c r="K129" i="1" s="1"/>
  <c r="I147" i="1"/>
  <c r="K147" i="1" s="1"/>
  <c r="AC30" i="1"/>
  <c r="J157" i="1"/>
  <c r="K157" i="1"/>
  <c r="O157" i="1" s="1"/>
  <c r="M157" i="1"/>
  <c r="J235" i="1"/>
  <c r="J81" i="1"/>
  <c r="AD6" i="1"/>
  <c r="C42" i="15"/>
  <c r="M42" i="15" s="1"/>
  <c r="D50" i="15"/>
  <c r="I97" i="1"/>
  <c r="K97" i="1" s="1"/>
  <c r="C40" i="15"/>
  <c r="J40" i="15" s="1"/>
  <c r="C38" i="15"/>
  <c r="J38" i="15" s="1"/>
  <c r="C36" i="15"/>
  <c r="M36" i="15" s="1"/>
  <c r="C34" i="15"/>
  <c r="C32" i="15"/>
  <c r="M32" i="15" s="1"/>
  <c r="D32" i="15"/>
  <c r="C46" i="15"/>
  <c r="J46" i="15" s="1"/>
  <c r="D56" i="15"/>
  <c r="D40" i="15"/>
  <c r="M54" i="15"/>
  <c r="J54" i="15"/>
  <c r="M52" i="15"/>
  <c r="J52" i="15"/>
  <c r="M50" i="15"/>
  <c r="J50" i="15"/>
  <c r="M48" i="15"/>
  <c r="J48" i="15"/>
  <c r="M44" i="15"/>
  <c r="J44" i="15"/>
  <c r="C50" i="15"/>
  <c r="D46" i="15"/>
  <c r="D58" i="15"/>
  <c r="D38" i="15"/>
  <c r="D36" i="15"/>
  <c r="D34" i="15"/>
  <c r="D42" i="15"/>
  <c r="J264" i="1"/>
  <c r="G11" i="14"/>
  <c r="G10" i="14"/>
  <c r="G9" i="14"/>
  <c r="G8" i="14"/>
  <c r="G7" i="14"/>
  <c r="G6" i="14"/>
  <c r="G5" i="14"/>
  <c r="G4" i="14"/>
  <c r="C47" i="14"/>
  <c r="C46" i="14"/>
  <c r="C27" i="14"/>
  <c r="C26" i="14"/>
  <c r="C7" i="14"/>
  <c r="C6" i="14"/>
  <c r="K3" i="14"/>
  <c r="J3" i="14"/>
  <c r="I3" i="14"/>
  <c r="G8" i="13"/>
  <c r="G7" i="13"/>
  <c r="G6" i="13"/>
  <c r="G5" i="13"/>
  <c r="G4" i="13"/>
  <c r="K3" i="13"/>
  <c r="J3" i="13"/>
  <c r="I3" i="13"/>
  <c r="C47" i="13"/>
  <c r="C46" i="13"/>
  <c r="C27" i="13"/>
  <c r="C26" i="13"/>
  <c r="C7" i="13"/>
  <c r="C6" i="13"/>
  <c r="L21" i="3"/>
  <c r="J75" i="1"/>
  <c r="J298" i="1"/>
  <c r="J296" i="1"/>
  <c r="J294" i="1"/>
  <c r="J292" i="1"/>
  <c r="J290" i="1"/>
  <c r="J288" i="1"/>
  <c r="J286" i="1"/>
  <c r="J284" i="1"/>
  <c r="J282" i="1"/>
  <c r="J278" i="1"/>
  <c r="J276" i="1"/>
  <c r="J272" i="1"/>
  <c r="J270" i="1"/>
  <c r="J268" i="1"/>
  <c r="J262" i="1"/>
  <c r="J260" i="1"/>
  <c r="J258" i="1"/>
  <c r="J256" i="1"/>
  <c r="J254" i="1"/>
  <c r="J252" i="1"/>
  <c r="J250" i="1"/>
  <c r="J103" i="1"/>
  <c r="J109" i="1"/>
  <c r="C119" i="3"/>
  <c r="B119" i="3"/>
  <c r="AD20" i="1" s="1"/>
  <c r="AD19" i="1"/>
  <c r="AD18" i="1"/>
  <c r="AD17" i="1"/>
  <c r="D101" i="3"/>
  <c r="AP165" i="1"/>
  <c r="AM165" i="1"/>
  <c r="AG165" i="1"/>
  <c r="AD165" i="1"/>
  <c r="J133" i="1"/>
  <c r="X165" i="1"/>
  <c r="U165" i="1"/>
  <c r="K177" i="1"/>
  <c r="K179" i="1"/>
  <c r="M179" i="1"/>
  <c r="K181" i="1"/>
  <c r="O181" i="1"/>
  <c r="K183" i="1"/>
  <c r="M183" i="1" s="1"/>
  <c r="K173" i="1"/>
  <c r="K171" i="1"/>
  <c r="O171" i="1"/>
  <c r="J175" i="1"/>
  <c r="J169" i="1"/>
  <c r="I169" i="1"/>
  <c r="K169" i="1" s="1"/>
  <c r="M169" i="1" s="1"/>
  <c r="I167" i="1"/>
  <c r="K167" i="1" s="1"/>
  <c r="I165" i="1"/>
  <c r="K165" i="1" s="1"/>
  <c r="I163" i="1"/>
  <c r="K163" i="1" s="1"/>
  <c r="M163" i="1" s="1"/>
  <c r="I161" i="1"/>
  <c r="K161" i="1" s="1"/>
  <c r="I117" i="1"/>
  <c r="K117" i="1" s="1"/>
  <c r="M117" i="1" s="1"/>
  <c r="I115" i="1"/>
  <c r="K115" i="1" s="1"/>
  <c r="I113" i="1"/>
  <c r="K113" i="1" s="1"/>
  <c r="I95" i="1"/>
  <c r="K95" i="1" s="1"/>
  <c r="M95" i="1" s="1"/>
  <c r="I93" i="1"/>
  <c r="I189" i="1" s="1"/>
  <c r="K189" i="1" s="1"/>
  <c r="I91" i="1"/>
  <c r="K91" i="1" s="1"/>
  <c r="J167" i="1"/>
  <c r="J163" i="1"/>
  <c r="J161" i="1"/>
  <c r="U25" i="5"/>
  <c r="R25" i="5"/>
  <c r="U23" i="5"/>
  <c r="R23" i="5"/>
  <c r="U22" i="5"/>
  <c r="R22" i="5"/>
  <c r="U21" i="5"/>
  <c r="R21" i="5"/>
  <c r="U17" i="5"/>
  <c r="T17" i="5"/>
  <c r="R17" i="5"/>
  <c r="Q17" i="5"/>
  <c r="T16" i="5"/>
  <c r="Q16" i="5"/>
  <c r="U15" i="5"/>
  <c r="R15" i="5"/>
  <c r="U14" i="5"/>
  <c r="R14" i="5"/>
  <c r="U13" i="5"/>
  <c r="T13" i="5"/>
  <c r="R13" i="5"/>
  <c r="Q13" i="5"/>
  <c r="T12" i="5"/>
  <c r="Q12" i="5"/>
  <c r="T11" i="5"/>
  <c r="Q11" i="5"/>
  <c r="U10" i="5"/>
  <c r="R10" i="5"/>
  <c r="U9" i="5"/>
  <c r="R9" i="5"/>
  <c r="O25" i="5"/>
  <c r="L25" i="5"/>
  <c r="O23" i="5"/>
  <c r="L23" i="5"/>
  <c r="O22" i="5"/>
  <c r="L22" i="5"/>
  <c r="O21" i="5"/>
  <c r="L21" i="5"/>
  <c r="O17" i="5"/>
  <c r="N17" i="5"/>
  <c r="L17" i="5"/>
  <c r="K17" i="5"/>
  <c r="N16" i="5"/>
  <c r="K16" i="5"/>
  <c r="O15" i="5"/>
  <c r="L15" i="5"/>
  <c r="O14" i="5"/>
  <c r="L14" i="5"/>
  <c r="O13" i="5"/>
  <c r="N13" i="5"/>
  <c r="L13" i="5"/>
  <c r="K13" i="5"/>
  <c r="N12" i="5"/>
  <c r="K12" i="5"/>
  <c r="N11" i="5"/>
  <c r="K11" i="5"/>
  <c r="O10" i="5"/>
  <c r="L10" i="5"/>
  <c r="O9" i="5"/>
  <c r="L9" i="5"/>
  <c r="H13" i="5"/>
  <c r="E13" i="5"/>
  <c r="I10" i="5"/>
  <c r="F10" i="5"/>
  <c r="I25" i="5"/>
  <c r="F25" i="5"/>
  <c r="I23" i="5"/>
  <c r="F23" i="5"/>
  <c r="I22" i="5"/>
  <c r="F22" i="5"/>
  <c r="I21" i="5"/>
  <c r="F21" i="5"/>
  <c r="I17" i="5"/>
  <c r="I15" i="5"/>
  <c r="I13" i="5"/>
  <c r="F17" i="5"/>
  <c r="F15" i="5"/>
  <c r="F13" i="5"/>
  <c r="H17" i="5"/>
  <c r="E17" i="5"/>
  <c r="H16" i="5"/>
  <c r="E16" i="5"/>
  <c r="I14" i="5"/>
  <c r="F14" i="5"/>
  <c r="H12" i="5"/>
  <c r="H11" i="5"/>
  <c r="E11" i="5"/>
  <c r="E12" i="5"/>
  <c r="I9" i="5"/>
  <c r="F9" i="5"/>
  <c r="H105" i="3"/>
  <c r="H104" i="3"/>
  <c r="H103" i="3"/>
  <c r="H102" i="3"/>
  <c r="H101" i="3"/>
  <c r="G109" i="3"/>
  <c r="F109" i="3" s="1"/>
  <c r="G108" i="3"/>
  <c r="F108" i="3"/>
  <c r="G107" i="3"/>
  <c r="F107" i="3"/>
  <c r="G105" i="3"/>
  <c r="F105" i="3" s="1"/>
  <c r="G104" i="3"/>
  <c r="F104" i="3" s="1"/>
  <c r="G103" i="3"/>
  <c r="F103" i="3"/>
  <c r="G102" i="3"/>
  <c r="F102" i="3" s="1"/>
  <c r="G101" i="3"/>
  <c r="F101" i="3" s="1"/>
  <c r="D102" i="3"/>
  <c r="D103" i="3"/>
  <c r="D104" i="3"/>
  <c r="D105" i="3"/>
  <c r="D107" i="3"/>
  <c r="D108" i="3"/>
  <c r="D109" i="3"/>
  <c r="K95" i="3"/>
  <c r="K21" i="3"/>
  <c r="K17" i="3"/>
  <c r="L17" i="3"/>
  <c r="K13" i="3"/>
  <c r="L13" i="3"/>
  <c r="J353" i="1"/>
  <c r="J314" i="1"/>
  <c r="J312" i="1"/>
  <c r="J310" i="1"/>
  <c r="J306" i="1"/>
  <c r="J304" i="1"/>
  <c r="J302" i="1"/>
  <c r="O245" i="1"/>
  <c r="M245" i="1"/>
  <c r="I245" i="1"/>
  <c r="J227" i="1"/>
  <c r="K245" i="1"/>
  <c r="K237" i="1"/>
  <c r="W237" i="1"/>
  <c r="W345" i="1"/>
  <c r="K345" i="1" s="1"/>
  <c r="I8" i="13" s="1"/>
  <c r="K233" i="1"/>
  <c r="K231" i="1"/>
  <c r="K229" i="1"/>
  <c r="O229" i="1" s="1"/>
  <c r="AP113" i="1"/>
  <c r="U24" i="5"/>
  <c r="AM113" i="1"/>
  <c r="R24" i="5" s="1"/>
  <c r="AG113" i="1"/>
  <c r="O24" i="5"/>
  <c r="AD113" i="1"/>
  <c r="L24" i="5" s="1"/>
  <c r="X113" i="1"/>
  <c r="I24" i="5"/>
  <c r="U113" i="1"/>
  <c r="F24" i="5" s="1"/>
  <c r="K109" i="1"/>
  <c r="O109" i="1"/>
  <c r="K105" i="1"/>
  <c r="M105" i="1" s="1"/>
  <c r="AP91" i="1"/>
  <c r="U18" i="5"/>
  <c r="AM91" i="1"/>
  <c r="R18" i="5"/>
  <c r="AP67" i="1"/>
  <c r="AM67" i="1"/>
  <c r="AP59" i="1"/>
  <c r="AM59" i="1"/>
  <c r="AP55" i="1"/>
  <c r="AM55" i="1"/>
  <c r="AP53" i="1"/>
  <c r="AM53" i="1"/>
  <c r="AP51" i="1"/>
  <c r="AM51" i="1"/>
  <c r="AP49" i="1"/>
  <c r="AM49" i="1"/>
  <c r="AP47" i="1"/>
  <c r="AM47" i="1"/>
  <c r="AP43" i="1"/>
  <c r="AP41" i="1"/>
  <c r="AG91" i="1"/>
  <c r="O18" i="5"/>
  <c r="AD91" i="1"/>
  <c r="L18" i="5" s="1"/>
  <c r="AG67" i="1"/>
  <c r="AD67" i="1"/>
  <c r="AG59" i="1"/>
  <c r="AD59" i="1"/>
  <c r="AG55" i="1"/>
  <c r="AD55" i="1"/>
  <c r="AG53" i="1"/>
  <c r="AD53" i="1"/>
  <c r="AG51" i="1"/>
  <c r="AD51" i="1"/>
  <c r="AG49" i="1"/>
  <c r="AD49" i="1"/>
  <c r="AG47" i="1"/>
  <c r="AD47" i="1"/>
  <c r="AG43" i="1"/>
  <c r="AG41" i="1"/>
  <c r="J223" i="1"/>
  <c r="J219" i="1"/>
  <c r="I217" i="1"/>
  <c r="K217" i="1" s="1"/>
  <c r="M217" i="1" s="1"/>
  <c r="J217" i="1"/>
  <c r="I213" i="1"/>
  <c r="K213" i="1" s="1"/>
  <c r="J213" i="1"/>
  <c r="I211" i="1"/>
  <c r="K211" i="1" s="1"/>
  <c r="J211" i="1"/>
  <c r="J209" i="1"/>
  <c r="J207" i="1"/>
  <c r="J189" i="1"/>
  <c r="J187" i="1"/>
  <c r="I119" i="1"/>
  <c r="K119" i="1" s="1"/>
  <c r="J153" i="1"/>
  <c r="J131" i="1"/>
  <c r="K127" i="1"/>
  <c r="M127" i="1"/>
  <c r="K125" i="1"/>
  <c r="O125" i="1" s="1"/>
  <c r="J121" i="1"/>
  <c r="J147" i="1"/>
  <c r="J119" i="1"/>
  <c r="J117" i="1"/>
  <c r="J115" i="1"/>
  <c r="J99" i="1"/>
  <c r="K103" i="1"/>
  <c r="M103" i="1" s="1"/>
  <c r="K107" i="1"/>
  <c r="J61" i="1"/>
  <c r="X91" i="1"/>
  <c r="I18" i="5" s="1"/>
  <c r="U91" i="1"/>
  <c r="F18" i="5"/>
  <c r="J97" i="1"/>
  <c r="J95" i="1"/>
  <c r="J93" i="1"/>
  <c r="U13" i="1"/>
  <c r="I133" i="1"/>
  <c r="K133" i="1" s="1"/>
  <c r="M133" i="1" s="1"/>
  <c r="J37" i="1"/>
  <c r="AL30" i="1"/>
  <c r="AJ215" i="1" s="1"/>
  <c r="AJ77" i="1"/>
  <c r="T30" i="1"/>
  <c r="R173" i="1" s="1"/>
  <c r="T173" i="1" s="1"/>
  <c r="U67" i="1"/>
  <c r="X55" i="1"/>
  <c r="X53" i="1"/>
  <c r="U55" i="1"/>
  <c r="U53" i="1"/>
  <c r="U51" i="1"/>
  <c r="X51" i="1"/>
  <c r="X49" i="1"/>
  <c r="X47" i="1"/>
  <c r="U49" i="1"/>
  <c r="U47" i="1"/>
  <c r="K85" i="1"/>
  <c r="K83" i="1"/>
  <c r="O83" i="1" s="1"/>
  <c r="AO83" i="1" s="1"/>
  <c r="AO288" i="1" s="1"/>
  <c r="W83" i="1"/>
  <c r="W288" i="1" s="1"/>
  <c r="J71" i="1"/>
  <c r="J69" i="1"/>
  <c r="X67" i="1"/>
  <c r="X41" i="1"/>
  <c r="W41" i="1"/>
  <c r="X43" i="1"/>
  <c r="W43" i="1"/>
  <c r="X59" i="1"/>
  <c r="U59" i="1"/>
  <c r="J45" i="1"/>
  <c r="J87" i="1"/>
  <c r="J83" i="1"/>
  <c r="J79" i="1"/>
  <c r="J73" i="1"/>
  <c r="J65" i="1"/>
  <c r="J63" i="1"/>
  <c r="T43" i="1"/>
  <c r="T41" i="1"/>
  <c r="O43" i="1"/>
  <c r="M43" i="1"/>
  <c r="O41" i="1"/>
  <c r="AL41" i="1" s="1"/>
  <c r="M41" i="1"/>
  <c r="AF41" i="1" s="1"/>
  <c r="I73" i="1"/>
  <c r="K73" i="1" s="1"/>
  <c r="I69" i="1"/>
  <c r="K69" i="1" s="1"/>
  <c r="K50" i="5"/>
  <c r="C99" i="1"/>
  <c r="AA107" i="1"/>
  <c r="C153" i="1"/>
  <c r="I61" i="1"/>
  <c r="K61" i="1" s="1"/>
  <c r="C101" i="1"/>
  <c r="I71" i="1"/>
  <c r="K71" i="1" s="1"/>
  <c r="I79" i="1"/>
  <c r="K79" i="1" s="1"/>
  <c r="O79" i="1" s="1"/>
  <c r="C121" i="1"/>
  <c r="C123" i="1"/>
  <c r="O105" i="1"/>
  <c r="I45" i="1"/>
  <c r="K45" i="1" s="1"/>
  <c r="I63" i="1"/>
  <c r="K63" i="1" s="1"/>
  <c r="I37" i="1"/>
  <c r="K37" i="1" s="1"/>
  <c r="I81" i="1"/>
  <c r="K81" i="1" s="1"/>
  <c r="M81" i="1" s="1"/>
  <c r="AA175" i="1"/>
  <c r="M49" i="1"/>
  <c r="AF49" i="1" s="1"/>
  <c r="AC49" i="1"/>
  <c r="M151" i="1"/>
  <c r="O237" i="1"/>
  <c r="AL237" i="1"/>
  <c r="AL345" i="1"/>
  <c r="O179" i="1"/>
  <c r="M55" i="1"/>
  <c r="AC55" i="1" s="1"/>
  <c r="T237" i="1"/>
  <c r="T345" i="1"/>
  <c r="AA233" i="1"/>
  <c r="AF233" i="1" s="1"/>
  <c r="AC233" i="1"/>
  <c r="AF327" i="1"/>
  <c r="AA229" i="1"/>
  <c r="AF229" i="1" s="1"/>
  <c r="AA133" i="1"/>
  <c r="AC133" i="1" s="1"/>
  <c r="AJ65" i="1"/>
  <c r="AL65" i="1" s="1"/>
  <c r="AJ177" i="1"/>
  <c r="AL177" i="1" s="1"/>
  <c r="AO177" i="1"/>
  <c r="AA179" i="1"/>
  <c r="AC179" i="1" s="1"/>
  <c r="AJ117" i="1"/>
  <c r="AO323" i="1"/>
  <c r="AO333" i="1" s="1"/>
  <c r="AJ227" i="1"/>
  <c r="AO227" i="1" s="1"/>
  <c r="AJ59" i="1"/>
  <c r="AL59" i="1" s="1"/>
  <c r="AL256" i="1" s="1"/>
  <c r="AJ123" i="1"/>
  <c r="AO272" i="1"/>
  <c r="AA103" i="1"/>
  <c r="AJ67" i="1"/>
  <c r="AL67" i="1" s="1"/>
  <c r="AJ171" i="1"/>
  <c r="AO171" i="1"/>
  <c r="AA93" i="1"/>
  <c r="AJ101" i="1"/>
  <c r="AF55" i="1"/>
  <c r="AF179" i="1"/>
  <c r="AJ235" i="1"/>
  <c r="AA129" i="1"/>
  <c r="AF129" i="1"/>
  <c r="N25" i="5" s="1"/>
  <c r="AC129" i="1"/>
  <c r="K25" i="5" s="1"/>
  <c r="AA203" i="1"/>
  <c r="AA215" i="1"/>
  <c r="AO325" i="1"/>
  <c r="AO337" i="1" s="1"/>
  <c r="AJ221" i="1"/>
  <c r="AL221" i="1" s="1"/>
  <c r="AA131" i="1"/>
  <c r="AA73" i="1"/>
  <c r="AA211" i="1"/>
  <c r="AF211" i="1" s="1"/>
  <c r="AJ73" i="1"/>
  <c r="AJ69" i="1"/>
  <c r="AL69" i="1" s="1"/>
  <c r="AJ161" i="1"/>
  <c r="M171" i="1"/>
  <c r="M235" i="1"/>
  <c r="M149" i="1"/>
  <c r="W55" i="1"/>
  <c r="T55" i="1"/>
  <c r="AO55" i="1"/>
  <c r="W35" i="1"/>
  <c r="AA207" i="1"/>
  <c r="AA125" i="1"/>
  <c r="AA113" i="1"/>
  <c r="AC113" i="1" s="1"/>
  <c r="K24" i="5" s="1"/>
  <c r="AA205" i="1"/>
  <c r="AC205" i="1" s="1"/>
  <c r="AA121" i="1"/>
  <c r="W51" i="1"/>
  <c r="O51" i="1"/>
  <c r="AO51" i="1" s="1"/>
  <c r="AA231" i="1"/>
  <c r="AC231" i="1" s="1"/>
  <c r="AJ129" i="1"/>
  <c r="AJ91" i="1"/>
  <c r="AO91" i="1" s="1"/>
  <c r="T18" i="5" s="1"/>
  <c r="AA151" i="1"/>
  <c r="AF278" i="1"/>
  <c r="AA147" i="1"/>
  <c r="AC147" i="1" s="1"/>
  <c r="C155" i="1"/>
  <c r="I175" i="1"/>
  <c r="K175" i="1" s="1"/>
  <c r="I65" i="1"/>
  <c r="K65" i="1" s="1"/>
  <c r="I87" i="1"/>
  <c r="K87" i="1" s="1"/>
  <c r="M87" i="1" s="1"/>
  <c r="AC272" i="1"/>
  <c r="AA119" i="1"/>
  <c r="AF272" i="1"/>
  <c r="AA95" i="1"/>
  <c r="AA223" i="1"/>
  <c r="AA59" i="1"/>
  <c r="AA71" i="1"/>
  <c r="AA109" i="1"/>
  <c r="AA173" i="1"/>
  <c r="AA227" i="1"/>
  <c r="AA127" i="1"/>
  <c r="AF127" i="1" s="1"/>
  <c r="AA187" i="1"/>
  <c r="AA149" i="1"/>
  <c r="AF149" i="1" s="1"/>
  <c r="M51" i="1"/>
  <c r="AC51" i="1" s="1"/>
  <c r="K6" i="5" s="1"/>
  <c r="T51" i="1"/>
  <c r="AJ157" i="1"/>
  <c r="AO331" i="1"/>
  <c r="AJ97" i="1"/>
  <c r="AO97" i="1" s="1"/>
  <c r="AA169" i="1"/>
  <c r="AF169" i="1" s="1"/>
  <c r="AA161" i="1"/>
  <c r="AA77" i="1"/>
  <c r="AC77" i="1"/>
  <c r="AF77" i="1" s="1"/>
  <c r="M77" i="1" s="1"/>
  <c r="M75" i="1" s="1"/>
  <c r="AF331" i="1"/>
  <c r="AO59" i="1"/>
  <c r="AO256" i="1" s="1"/>
  <c r="AC211" i="1"/>
  <c r="AL171" i="1"/>
  <c r="AF205" i="1"/>
  <c r="AC149" i="1"/>
  <c r="AL51" i="1"/>
  <c r="AF147" i="1"/>
  <c r="AF151" i="1"/>
  <c r="AC151" i="1"/>
  <c r="E6" i="5"/>
  <c r="AF323" i="1"/>
  <c r="AF333" i="1" s="1"/>
  <c r="AC323" i="1"/>
  <c r="AC333" i="1" s="1"/>
  <c r="AF284" i="1"/>
  <c r="AC282" i="1"/>
  <c r="Q6" i="5"/>
  <c r="AL282" i="1"/>
  <c r="AC258" i="1"/>
  <c r="AF258" i="1"/>
  <c r="AL276" i="1"/>
  <c r="O183" i="1"/>
  <c r="M181" i="1"/>
  <c r="AC169" i="1"/>
  <c r="AO65" i="1"/>
  <c r="M109" i="1"/>
  <c r="AF43" i="1"/>
  <c r="AC43" i="1"/>
  <c r="O235" i="1"/>
  <c r="AO43" i="1"/>
  <c r="AL43" i="1"/>
  <c r="W47" i="1"/>
  <c r="O47" i="1"/>
  <c r="AL47" i="1" s="1"/>
  <c r="O35" i="1"/>
  <c r="AO35" i="1" s="1"/>
  <c r="T35" i="1"/>
  <c r="AJ213" i="1"/>
  <c r="AO213" i="1" s="1"/>
  <c r="AO237" i="1"/>
  <c r="AO345" i="1"/>
  <c r="O345" i="1"/>
  <c r="K8" i="13" s="1"/>
  <c r="O127" i="1"/>
  <c r="M237" i="1"/>
  <c r="AL35" i="1"/>
  <c r="AC237" i="1"/>
  <c r="AC345" i="1"/>
  <c r="AF237" i="1"/>
  <c r="AF345" i="1" s="1"/>
  <c r="M345" i="1" s="1"/>
  <c r="J8" i="13" s="1"/>
  <c r="M40" i="15" l="1"/>
  <c r="R209" i="1"/>
  <c r="AL83" i="1"/>
  <c r="AL288" i="1" s="1"/>
  <c r="M258" i="1"/>
  <c r="J8" i="14" s="1"/>
  <c r="R155" i="1"/>
  <c r="M229" i="1"/>
  <c r="R117" i="1"/>
  <c r="W117" i="1" s="1"/>
  <c r="H21" i="5" s="1"/>
  <c r="T321" i="1"/>
  <c r="R151" i="1"/>
  <c r="W151" i="1" s="1"/>
  <c r="AC41" i="1"/>
  <c r="AO41" i="1"/>
  <c r="AC109" i="1"/>
  <c r="AO47" i="1"/>
  <c r="AC35" i="1"/>
  <c r="AF35" i="1"/>
  <c r="AF53" i="1"/>
  <c r="AC53" i="1"/>
  <c r="O129" i="1"/>
  <c r="AO129" i="1" s="1"/>
  <c r="T25" i="5" s="1"/>
  <c r="M129" i="1"/>
  <c r="AO69" i="1"/>
  <c r="AL91" i="1"/>
  <c r="Q18" i="5" s="1"/>
  <c r="M125" i="1"/>
  <c r="AC119" i="1"/>
  <c r="AF119" i="1"/>
  <c r="R179" i="1"/>
  <c r="W179" i="1" s="1"/>
  <c r="AO235" i="1"/>
  <c r="AL235" i="1"/>
  <c r="R71" i="1"/>
  <c r="R129" i="1"/>
  <c r="W129" i="1" s="1"/>
  <c r="H25" i="5" s="1"/>
  <c r="AO67" i="1"/>
  <c r="AJ211" i="1"/>
  <c r="AC71" i="1"/>
  <c r="AF71" i="1"/>
  <c r="AF121" i="1"/>
  <c r="AC121" i="1"/>
  <c r="R169" i="1"/>
  <c r="R101" i="1"/>
  <c r="R115" i="1"/>
  <c r="T115" i="1" s="1"/>
  <c r="E22" i="5" s="1"/>
  <c r="AJ147" i="1"/>
  <c r="AJ179" i="1"/>
  <c r="AJ205" i="1"/>
  <c r="AJ169" i="1"/>
  <c r="AJ103" i="1"/>
  <c r="AF133" i="1"/>
  <c r="R87" i="1"/>
  <c r="W87" i="1" s="1"/>
  <c r="O107" i="1"/>
  <c r="M107" i="1"/>
  <c r="AC107" i="1" s="1"/>
  <c r="AC95" i="1"/>
  <c r="K9" i="5" s="1"/>
  <c r="AL213" i="1"/>
  <c r="AC75" i="1"/>
  <c r="AC131" i="1"/>
  <c r="K23" i="5" s="1"/>
  <c r="AF131" i="1"/>
  <c r="N23" i="5" s="1"/>
  <c r="M231" i="1"/>
  <c r="O231" i="1"/>
  <c r="O233" i="1"/>
  <c r="M233" i="1"/>
  <c r="AO221" i="1"/>
  <c r="O221" i="1" s="1"/>
  <c r="O219" i="1" s="1"/>
  <c r="T331" i="1"/>
  <c r="R63" i="1"/>
  <c r="W63" i="1" s="1"/>
  <c r="T272" i="1"/>
  <c r="E50" i="5"/>
  <c r="AL161" i="1"/>
  <c r="AO161" i="1"/>
  <c r="AL101" i="1"/>
  <c r="AO101" i="1"/>
  <c r="AJ61" i="1"/>
  <c r="AL284" i="1"/>
  <c r="AJ223" i="1"/>
  <c r="R219" i="1"/>
  <c r="R171" i="1"/>
  <c r="T171" i="1" s="1"/>
  <c r="R67" i="1"/>
  <c r="W67" i="1" s="1"/>
  <c r="W341" i="1" s="1"/>
  <c r="AJ133" i="1"/>
  <c r="AJ149" i="1"/>
  <c r="AJ181" i="1"/>
  <c r="AJ63" i="1"/>
  <c r="AL325" i="1"/>
  <c r="AL337" i="1" s="1"/>
  <c r="E79" i="3"/>
  <c r="AO215" i="1"/>
  <c r="W321" i="1"/>
  <c r="R187" i="1"/>
  <c r="AL227" i="1"/>
  <c r="R75" i="1"/>
  <c r="R205" i="1"/>
  <c r="T205" i="1" s="1"/>
  <c r="R113" i="1"/>
  <c r="T113" i="1" s="1"/>
  <c r="E24" i="5" s="1"/>
  <c r="R221" i="1"/>
  <c r="R175" i="1"/>
  <c r="T175" i="1" s="1"/>
  <c r="R77" i="3"/>
  <c r="E78" i="3" s="1"/>
  <c r="O177" i="1"/>
  <c r="M177" i="1"/>
  <c r="AF231" i="1"/>
  <c r="AF113" i="1"/>
  <c r="N24" i="5" s="1"/>
  <c r="AC173" i="1"/>
  <c r="AF173" i="1"/>
  <c r="R123" i="1"/>
  <c r="T123" i="1" s="1"/>
  <c r="AJ187" i="1"/>
  <c r="AJ121" i="1"/>
  <c r="O173" i="1"/>
  <c r="M173" i="1"/>
  <c r="AF59" i="1"/>
  <c r="AF256" i="1" s="1"/>
  <c r="AC59" i="1"/>
  <c r="R149" i="1"/>
  <c r="W149" i="1" s="1"/>
  <c r="R229" i="1"/>
  <c r="T229" i="1" s="1"/>
  <c r="R181" i="1"/>
  <c r="W181" i="1" s="1"/>
  <c r="R93" i="1"/>
  <c r="R191" i="1"/>
  <c r="T191" i="1" s="1"/>
  <c r="T199" i="1" s="1"/>
  <c r="R177" i="1"/>
  <c r="T177" i="1" s="1"/>
  <c r="R163" i="1"/>
  <c r="W163" i="1" s="1"/>
  <c r="R161" i="1"/>
  <c r="T161" i="1" s="1"/>
  <c r="R233" i="1"/>
  <c r="R127" i="1"/>
  <c r="R227" i="1"/>
  <c r="R99" i="1"/>
  <c r="R77" i="1"/>
  <c r="R121" i="1"/>
  <c r="R59" i="1"/>
  <c r="R183" i="1"/>
  <c r="T183" i="1" s="1"/>
  <c r="R147" i="1"/>
  <c r="R65" i="1"/>
  <c r="R153" i="1"/>
  <c r="T153" i="1" s="1"/>
  <c r="R167" i="1"/>
  <c r="R107" i="1"/>
  <c r="W107" i="1" s="1"/>
  <c r="R235" i="1"/>
  <c r="T235" i="1" s="1"/>
  <c r="R131" i="1"/>
  <c r="R165" i="1"/>
  <c r="W165" i="1" s="1"/>
  <c r="R103" i="1"/>
  <c r="W103" i="1" s="1"/>
  <c r="W304" i="1" s="1"/>
  <c r="R95" i="1"/>
  <c r="T95" i="1" s="1"/>
  <c r="R119" i="1"/>
  <c r="T119" i="1" s="1"/>
  <c r="R135" i="1"/>
  <c r="R69" i="1"/>
  <c r="W69" i="1" s="1"/>
  <c r="W262" i="1" s="1"/>
  <c r="R109" i="1"/>
  <c r="W109" i="1" s="1"/>
  <c r="R157" i="1"/>
  <c r="R223" i="1"/>
  <c r="AC229" i="1"/>
  <c r="R231" i="1"/>
  <c r="W53" i="1"/>
  <c r="O53" i="1"/>
  <c r="T53" i="1"/>
  <c r="AL97" i="1"/>
  <c r="AL215" i="1" s="1"/>
  <c r="AC127" i="1"/>
  <c r="AF161" i="1"/>
  <c r="AC161" i="1"/>
  <c r="AF125" i="1"/>
  <c r="AC125" i="1"/>
  <c r="AL262" i="1"/>
  <c r="AJ127" i="1"/>
  <c r="AJ105" i="1"/>
  <c r="AJ119" i="1"/>
  <c r="AJ71" i="1"/>
  <c r="AJ131" i="1"/>
  <c r="AJ107" i="1"/>
  <c r="AL272" i="1"/>
  <c r="AJ115" i="1"/>
  <c r="AJ163" i="1"/>
  <c r="AJ135" i="1"/>
  <c r="AO321" i="1"/>
  <c r="AO343" i="1"/>
  <c r="AO339" i="1" s="1"/>
  <c r="AO284" i="1"/>
  <c r="O284" i="1" s="1"/>
  <c r="AL258" i="1"/>
  <c r="AJ125" i="1"/>
  <c r="AJ189" i="1"/>
  <c r="AO304" i="1"/>
  <c r="AJ109" i="1"/>
  <c r="AJ219" i="1"/>
  <c r="AJ95" i="1"/>
  <c r="AJ87" i="1"/>
  <c r="AL321" i="1"/>
  <c r="AO262" i="1"/>
  <c r="AL341" i="1"/>
  <c r="AO282" i="1"/>
  <c r="O282" i="1" s="1"/>
  <c r="AO258" i="1"/>
  <c r="O258" i="1" s="1"/>
  <c r="K8" i="14" s="1"/>
  <c r="AJ207" i="1"/>
  <c r="AJ113" i="1"/>
  <c r="AL331" i="1"/>
  <c r="AJ209" i="1"/>
  <c r="AL304" i="1"/>
  <c r="AJ183" i="1"/>
  <c r="AJ93" i="1"/>
  <c r="AJ203" i="1"/>
  <c r="AJ225" i="1"/>
  <c r="AO225" i="1" s="1"/>
  <c r="AL225" i="1" s="1"/>
  <c r="O225" i="1" s="1"/>
  <c r="O223" i="1" s="1"/>
  <c r="AL323" i="1"/>
  <c r="AL333" i="1" s="1"/>
  <c r="AJ173" i="1"/>
  <c r="AJ191" i="1"/>
  <c r="AJ151" i="1"/>
  <c r="AJ175" i="1"/>
  <c r="AJ99" i="1"/>
  <c r="AL343" i="1"/>
  <c r="AL339" i="1" s="1"/>
  <c r="AJ231" i="1"/>
  <c r="AJ167" i="1"/>
  <c r="AJ165" i="1"/>
  <c r="AJ233" i="1"/>
  <c r="AJ229" i="1"/>
  <c r="AO276" i="1"/>
  <c r="O276" i="1" s="1"/>
  <c r="T49" i="1"/>
  <c r="O49" i="1"/>
  <c r="W49" i="1"/>
  <c r="W331" i="1"/>
  <c r="AO341" i="1"/>
  <c r="AF51" i="1"/>
  <c r="AF109" i="1"/>
  <c r="AJ75" i="1"/>
  <c r="R215" i="1"/>
  <c r="AJ155" i="1"/>
  <c r="AJ153" i="1"/>
  <c r="AJ217" i="1"/>
  <c r="Q50" i="5"/>
  <c r="AC175" i="1"/>
  <c r="AF175" i="1"/>
  <c r="AF107" i="1"/>
  <c r="T47" i="1"/>
  <c r="M47" i="1"/>
  <c r="AA65" i="1"/>
  <c r="AA183" i="1"/>
  <c r="AA123" i="1"/>
  <c r="AA217" i="1"/>
  <c r="AC327" i="1"/>
  <c r="AA221" i="1"/>
  <c r="AA87" i="1"/>
  <c r="AA99" i="1"/>
  <c r="AA181" i="1"/>
  <c r="AA97" i="1"/>
  <c r="AA135" i="1"/>
  <c r="AA235" i="1"/>
  <c r="AA67" i="1"/>
  <c r="AA163" i="1"/>
  <c r="AA91" i="1"/>
  <c r="AA171" i="1"/>
  <c r="AA165" i="1"/>
  <c r="AA177" i="1"/>
  <c r="AA219" i="1"/>
  <c r="AA63" i="1"/>
  <c r="AA157" i="1"/>
  <c r="AA155" i="1"/>
  <c r="AF262" i="1"/>
  <c r="AA209" i="1"/>
  <c r="AA153" i="1"/>
  <c r="AC325" i="1"/>
  <c r="AC337" i="1" s="1"/>
  <c r="AA167" i="1"/>
  <c r="AA105" i="1"/>
  <c r="AC278" i="1"/>
  <c r="M278" i="1" s="1"/>
  <c r="AA115" i="1"/>
  <c r="AF282" i="1"/>
  <c r="M282" i="1" s="1"/>
  <c r="AA69" i="1"/>
  <c r="AF325" i="1"/>
  <c r="AF337" i="1" s="1"/>
  <c r="AF329" i="1" s="1"/>
  <c r="AA191" i="1"/>
  <c r="AA117" i="1"/>
  <c r="AC331" i="1"/>
  <c r="AC262" i="1"/>
  <c r="AA75" i="1"/>
  <c r="AA225" i="1"/>
  <c r="AF225" i="1" s="1"/>
  <c r="AC225" i="1" s="1"/>
  <c r="AA189" i="1"/>
  <c r="AA101" i="1"/>
  <c r="AC284" i="1"/>
  <c r="M284" i="1" s="1"/>
  <c r="R31" i="3"/>
  <c r="AC81" i="1"/>
  <c r="AC227" i="1"/>
  <c r="T67" i="1"/>
  <c r="T343" i="1" s="1"/>
  <c r="T339" i="1" s="1"/>
  <c r="W205" i="1"/>
  <c r="K205" i="1" s="1"/>
  <c r="K203" i="1" s="1"/>
  <c r="W173" i="1"/>
  <c r="W183" i="1"/>
  <c r="T163" i="1"/>
  <c r="T117" i="1"/>
  <c r="E21" i="5" s="1"/>
  <c r="R125" i="1"/>
  <c r="W272" i="1"/>
  <c r="R73" i="1"/>
  <c r="W73" i="1" s="1"/>
  <c r="R207" i="1"/>
  <c r="R211" i="1"/>
  <c r="R225" i="1"/>
  <c r="R203" i="1"/>
  <c r="W203" i="1" s="1"/>
  <c r="R217" i="1"/>
  <c r="W217" i="1" s="1"/>
  <c r="R105" i="1"/>
  <c r="R189" i="1"/>
  <c r="W189" i="1" s="1"/>
  <c r="R97" i="1"/>
  <c r="W97" i="1" s="1"/>
  <c r="T179" i="1"/>
  <c r="R91" i="1"/>
  <c r="W91" i="1" s="1"/>
  <c r="H18" i="5" s="1"/>
  <c r="R133" i="1"/>
  <c r="AD21" i="1"/>
  <c r="J42" i="15"/>
  <c r="M46" i="15"/>
  <c r="O272" i="1"/>
  <c r="O165" i="1"/>
  <c r="M165" i="1"/>
  <c r="M113" i="1"/>
  <c r="O113" i="1"/>
  <c r="M167" i="1"/>
  <c r="O167" i="1"/>
  <c r="J32" i="15"/>
  <c r="K93" i="1"/>
  <c r="M93" i="1" s="1"/>
  <c r="AC93" i="1" s="1"/>
  <c r="K14" i="5" s="1"/>
  <c r="K15" i="5" s="1"/>
  <c r="J36" i="15"/>
  <c r="O91" i="1"/>
  <c r="O189" i="1"/>
  <c r="M189" i="1"/>
  <c r="AC189" i="1" s="1"/>
  <c r="AL79" i="1"/>
  <c r="AO79" i="1"/>
  <c r="T79" i="1"/>
  <c r="T298" i="1" s="1"/>
  <c r="O256" i="1"/>
  <c r="K7" i="14" s="1"/>
  <c r="M272" i="1"/>
  <c r="O133" i="1"/>
  <c r="AO133" i="1" s="1"/>
  <c r="O288" i="1"/>
  <c r="M205" i="1"/>
  <c r="M203" i="1" s="1"/>
  <c r="AF203" i="1" s="1"/>
  <c r="O95" i="1"/>
  <c r="W37" i="1"/>
  <c r="T37" i="1"/>
  <c r="AC103" i="1"/>
  <c r="AC304" i="1" s="1"/>
  <c r="AF103" i="1"/>
  <c r="AF304" i="1" s="1"/>
  <c r="O161" i="1"/>
  <c r="M161" i="1"/>
  <c r="W45" i="1"/>
  <c r="O45" i="1"/>
  <c r="AL45" i="1" s="1"/>
  <c r="O217" i="1"/>
  <c r="O169" i="1"/>
  <c r="AF75" i="1"/>
  <c r="T81" i="1"/>
  <c r="O103" i="1"/>
  <c r="O117" i="1"/>
  <c r="O163" i="1"/>
  <c r="M38" i="15"/>
  <c r="M91" i="1"/>
  <c r="AF227" i="1"/>
  <c r="O69" i="1"/>
  <c r="M69" i="1"/>
  <c r="M175" i="1"/>
  <c r="O175" i="1"/>
  <c r="O211" i="1"/>
  <c r="M211" i="1"/>
  <c r="O61" i="1"/>
  <c r="M61" i="1"/>
  <c r="O73" i="1"/>
  <c r="M73" i="1"/>
  <c r="O115" i="1"/>
  <c r="M115" i="1"/>
  <c r="O97" i="1"/>
  <c r="AO157" i="1"/>
  <c r="AL157" i="1"/>
  <c r="AL306" i="1" s="1"/>
  <c r="AL314" i="1" s="1"/>
  <c r="I131" i="1"/>
  <c r="K131" i="1" s="1"/>
  <c r="M63" i="1"/>
  <c r="O63" i="1"/>
  <c r="M213" i="1"/>
  <c r="O213" i="1"/>
  <c r="AF81" i="1"/>
  <c r="O85" i="1"/>
  <c r="T85" i="1"/>
  <c r="T264" i="1" s="1"/>
  <c r="W85" i="1"/>
  <c r="W264" i="1" s="1"/>
  <c r="M85" i="1"/>
  <c r="O119" i="1"/>
  <c r="M119" i="1"/>
  <c r="T45" i="1"/>
  <c r="M45" i="1"/>
  <c r="O147" i="1"/>
  <c r="M147" i="1"/>
  <c r="M97" i="1"/>
  <c r="AO329" i="1"/>
  <c r="W81" i="1"/>
  <c r="O81" i="1"/>
  <c r="M79" i="1"/>
  <c r="W79" i="1"/>
  <c r="M34" i="15"/>
  <c r="M58" i="15" s="1"/>
  <c r="J34" i="15"/>
  <c r="M65" i="1"/>
  <c r="O65" i="1"/>
  <c r="O37" i="1"/>
  <c r="M37" i="1"/>
  <c r="M71" i="1"/>
  <c r="O71" i="1"/>
  <c r="M187" i="1"/>
  <c r="O187" i="1"/>
  <c r="W187" i="1"/>
  <c r="AF95" i="1"/>
  <c r="N9" i="5" s="1"/>
  <c r="W95" i="1"/>
  <c r="W221" i="1" s="1"/>
  <c r="O87" i="1"/>
  <c r="M83" i="1"/>
  <c r="T83" i="1"/>
  <c r="T288" i="1" s="1"/>
  <c r="K288" i="1" s="1"/>
  <c r="O339" i="1"/>
  <c r="K7" i="13" s="1"/>
  <c r="M56" i="15" l="1"/>
  <c r="O304" i="1"/>
  <c r="T69" i="1"/>
  <c r="T262" i="1" s="1"/>
  <c r="T63" i="1"/>
  <c r="T341" i="1"/>
  <c r="T197" i="1"/>
  <c r="T195" i="1"/>
  <c r="T149" i="1"/>
  <c r="E9" i="5"/>
  <c r="T221" i="1"/>
  <c r="K272" i="1"/>
  <c r="M262" i="1"/>
  <c r="J10" i="14" s="1"/>
  <c r="K262" i="1"/>
  <c r="I10" i="14" s="1"/>
  <c r="O101" i="1"/>
  <c r="O99" i="1" s="1"/>
  <c r="O262" i="1"/>
  <c r="K10" i="14" s="1"/>
  <c r="T165" i="1"/>
  <c r="T151" i="1"/>
  <c r="W171" i="1"/>
  <c r="W229" i="1"/>
  <c r="W235" i="1"/>
  <c r="T87" i="1"/>
  <c r="AC329" i="1"/>
  <c r="M329" i="1" s="1"/>
  <c r="J6" i="13" s="1"/>
  <c r="T181" i="1"/>
  <c r="W115" i="1"/>
  <c r="W123" i="1" s="1"/>
  <c r="K123" i="1" s="1"/>
  <c r="K121" i="1" s="1"/>
  <c r="T109" i="1"/>
  <c r="W343" i="1"/>
  <c r="W339" i="1" s="1"/>
  <c r="K339" i="1" s="1"/>
  <c r="I7" i="13" s="1"/>
  <c r="W175" i="1"/>
  <c r="T155" i="1"/>
  <c r="T103" i="1"/>
  <c r="T304" i="1" s="1"/>
  <c r="K304" i="1" s="1"/>
  <c r="W177" i="1"/>
  <c r="T77" i="1"/>
  <c r="W77" i="1" s="1"/>
  <c r="K77" i="1" s="1"/>
  <c r="K75" i="1" s="1"/>
  <c r="T75" i="1" s="1"/>
  <c r="AL329" i="1"/>
  <c r="AL294" i="1" s="1"/>
  <c r="AF235" i="1"/>
  <c r="AF306" i="1" s="1"/>
  <c r="AC235" i="1"/>
  <c r="AC306" i="1" s="1"/>
  <c r="AC314" i="1" s="1"/>
  <c r="AL175" i="1"/>
  <c r="AO175" i="1"/>
  <c r="AL53" i="1"/>
  <c r="AO53" i="1"/>
  <c r="AC165" i="1"/>
  <c r="AF165" i="1"/>
  <c r="AO173" i="1"/>
  <c r="AL173" i="1"/>
  <c r="AL61" i="1"/>
  <c r="AO61" i="1"/>
  <c r="AO167" i="1"/>
  <c r="AL167" i="1"/>
  <c r="AL95" i="1"/>
  <c r="Q9" i="5" s="1"/>
  <c r="AO95" i="1"/>
  <c r="T9" i="5" s="1"/>
  <c r="AO71" i="1"/>
  <c r="AL71" i="1"/>
  <c r="W191" i="1"/>
  <c r="W201" i="1" s="1"/>
  <c r="AC87" i="1"/>
  <c r="AF87" i="1"/>
  <c r="AL231" i="1"/>
  <c r="AO231" i="1"/>
  <c r="AO207" i="1"/>
  <c r="AL207" i="1"/>
  <c r="AO219" i="1"/>
  <c r="T10" i="5" s="1"/>
  <c r="AL219" i="1"/>
  <c r="Q10" i="5" s="1"/>
  <c r="W157" i="1"/>
  <c r="T157" i="1"/>
  <c r="W131" i="1"/>
  <c r="H23" i="5" s="1"/>
  <c r="T131" i="1"/>
  <c r="E23" i="5" s="1"/>
  <c r="T147" i="1"/>
  <c r="W147" i="1"/>
  <c r="W127" i="1"/>
  <c r="T127" i="1"/>
  <c r="AO179" i="1"/>
  <c r="AL179" i="1"/>
  <c r="AC105" i="1"/>
  <c r="AC286" i="1" s="1"/>
  <c r="AF105" i="1"/>
  <c r="AF286" i="1" s="1"/>
  <c r="M286" i="1" s="1"/>
  <c r="AC217" i="1"/>
  <c r="AF217" i="1"/>
  <c r="AL183" i="1"/>
  <c r="AO183" i="1"/>
  <c r="W135" i="1"/>
  <c r="T135" i="1"/>
  <c r="AC69" i="1"/>
  <c r="AF69" i="1"/>
  <c r="AC181" i="1"/>
  <c r="AF181" i="1"/>
  <c r="W65" i="1"/>
  <c r="T65" i="1"/>
  <c r="AC171" i="1"/>
  <c r="AF171" i="1"/>
  <c r="AO149" i="1"/>
  <c r="AL149" i="1"/>
  <c r="J58" i="15"/>
  <c r="W119" i="1"/>
  <c r="T129" i="1"/>
  <c r="E25" i="5" s="1"/>
  <c r="T193" i="1"/>
  <c r="W161" i="1"/>
  <c r="AF115" i="1"/>
  <c r="N22" i="5" s="1"/>
  <c r="AC115" i="1"/>
  <c r="K22" i="5" s="1"/>
  <c r="AF155" i="1"/>
  <c r="M155" i="1" s="1"/>
  <c r="M153" i="1" s="1"/>
  <c r="AC155" i="1"/>
  <c r="AC163" i="1"/>
  <c r="AF163" i="1"/>
  <c r="AC221" i="1"/>
  <c r="AF221" i="1"/>
  <c r="M221" i="1" s="1"/>
  <c r="M219" i="1" s="1"/>
  <c r="AL49" i="1"/>
  <c r="AO49" i="1"/>
  <c r="AO203" i="1"/>
  <c r="AL203" i="1"/>
  <c r="AO109" i="1"/>
  <c r="AL109" i="1"/>
  <c r="AO135" i="1"/>
  <c r="AL135" i="1"/>
  <c r="AO105" i="1"/>
  <c r="AL105" i="1"/>
  <c r="AO211" i="1"/>
  <c r="AL211" i="1"/>
  <c r="AC117" i="1"/>
  <c r="K21" i="5" s="1"/>
  <c r="AF117" i="1"/>
  <c r="N21" i="5" s="1"/>
  <c r="AO189" i="1"/>
  <c r="AL189" i="1"/>
  <c r="AA213" i="1"/>
  <c r="AA61" i="1"/>
  <c r="AC256" i="1"/>
  <c r="M256" i="1" s="1"/>
  <c r="J7" i="14" s="1"/>
  <c r="AC153" i="1"/>
  <c r="AF153" i="1"/>
  <c r="AC65" i="1"/>
  <c r="AC252" i="1" s="1"/>
  <c r="AF65" i="1"/>
  <c r="AF252" i="1" s="1"/>
  <c r="AL165" i="1"/>
  <c r="AO165" i="1"/>
  <c r="AO181" i="1"/>
  <c r="AL181" i="1"/>
  <c r="AL169" i="1"/>
  <c r="AO169" i="1"/>
  <c r="AC47" i="1"/>
  <c r="AF47" i="1"/>
  <c r="T227" i="1"/>
  <c r="W227" i="1"/>
  <c r="AO113" i="1"/>
  <c r="T24" i="5" s="1"/>
  <c r="AO298" i="1"/>
  <c r="T201" i="1"/>
  <c r="W113" i="1"/>
  <c r="H24" i="5" s="1"/>
  <c r="AF157" i="1"/>
  <c r="AC157" i="1"/>
  <c r="AF67" i="1"/>
  <c r="AC67" i="1"/>
  <c r="AO99" i="1"/>
  <c r="AL99" i="1"/>
  <c r="AL93" i="1"/>
  <c r="Q14" i="5" s="1"/>
  <c r="Q15" i="5" s="1"/>
  <c r="AO93" i="1"/>
  <c r="T14" i="5" s="1"/>
  <c r="T15" i="5" s="1"/>
  <c r="AO163" i="1"/>
  <c r="AL163" i="1"/>
  <c r="AL127" i="1"/>
  <c r="AO127" i="1"/>
  <c r="T59" i="1"/>
  <c r="W59" i="1"/>
  <c r="T233" i="1"/>
  <c r="W233" i="1"/>
  <c r="AF191" i="1"/>
  <c r="AC191" i="1"/>
  <c r="AF167" i="1"/>
  <c r="AC167" i="1"/>
  <c r="AC219" i="1"/>
  <c r="K10" i="5" s="1"/>
  <c r="AF219" i="1"/>
  <c r="N10" i="5" s="1"/>
  <c r="AF135" i="1"/>
  <c r="AC135" i="1"/>
  <c r="AC123" i="1"/>
  <c r="AF123" i="1"/>
  <c r="AL229" i="1"/>
  <c r="AO229" i="1"/>
  <c r="AL151" i="1"/>
  <c r="AL270" i="1" s="1"/>
  <c r="AO151" i="1"/>
  <c r="AL125" i="1"/>
  <c r="AO125" i="1"/>
  <c r="T167" i="1"/>
  <c r="W167" i="1"/>
  <c r="T169" i="1"/>
  <c r="W169" i="1"/>
  <c r="M225" i="1"/>
  <c r="M223" i="1" s="1"/>
  <c r="T107" i="1"/>
  <c r="AF177" i="1"/>
  <c r="AC177" i="1"/>
  <c r="AC183" i="1"/>
  <c r="AF183" i="1"/>
  <c r="AO217" i="1"/>
  <c r="AL217" i="1"/>
  <c r="AL233" i="1"/>
  <c r="AO233" i="1"/>
  <c r="AL191" i="1"/>
  <c r="AO191" i="1"/>
  <c r="AL209" i="1"/>
  <c r="AO209" i="1"/>
  <c r="AL107" i="1"/>
  <c r="AO107" i="1"/>
  <c r="T231" i="1"/>
  <c r="W231" i="1"/>
  <c r="AO103" i="1"/>
  <c r="AL103" i="1"/>
  <c r="T71" i="1"/>
  <c r="W71" i="1"/>
  <c r="AL129" i="1"/>
  <c r="Q25" i="5" s="1"/>
  <c r="AO205" i="1"/>
  <c r="AL205" i="1"/>
  <c r="W193" i="1"/>
  <c r="T217" i="1"/>
  <c r="T203" i="1"/>
  <c r="T97" i="1"/>
  <c r="T215" i="1" s="1"/>
  <c r="H9" i="5"/>
  <c r="T73" i="1"/>
  <c r="T105" i="1"/>
  <c r="W105" i="1"/>
  <c r="T125" i="1"/>
  <c r="W125" i="1"/>
  <c r="T91" i="1"/>
  <c r="E18" i="5" s="1"/>
  <c r="T189" i="1"/>
  <c r="W211" i="1"/>
  <c r="T211" i="1"/>
  <c r="T133" i="1"/>
  <c r="W133" i="1"/>
  <c r="K264" i="1"/>
  <c r="I11" i="14" s="1"/>
  <c r="AF189" i="1"/>
  <c r="J56" i="15"/>
  <c r="AL113" i="1"/>
  <c r="Q24" i="5" s="1"/>
  <c r="M304" i="1"/>
  <c r="W93" i="1"/>
  <c r="W101" i="1" s="1"/>
  <c r="T296" i="1"/>
  <c r="T93" i="1"/>
  <c r="AC101" i="1"/>
  <c r="AF93" i="1"/>
  <c r="N14" i="5" s="1"/>
  <c r="N15" i="5" s="1"/>
  <c r="O93" i="1"/>
  <c r="AC203" i="1"/>
  <c r="AL296" i="1"/>
  <c r="AO294" i="1"/>
  <c r="M60" i="15"/>
  <c r="M66" i="15" s="1"/>
  <c r="AO296" i="1"/>
  <c r="AL133" i="1"/>
  <c r="AO45" i="1"/>
  <c r="AO270" i="1" s="1"/>
  <c r="AC91" i="1"/>
  <c r="K18" i="5" s="1"/>
  <c r="AF91" i="1"/>
  <c r="N18" i="5" s="1"/>
  <c r="AO117" i="1"/>
  <c r="T21" i="5" s="1"/>
  <c r="AL117" i="1"/>
  <c r="Q21" i="5" s="1"/>
  <c r="W282" i="1"/>
  <c r="W268" i="1"/>
  <c r="AC83" i="1"/>
  <c r="AC288" i="1" s="1"/>
  <c r="AF83" i="1"/>
  <c r="AF288" i="1" s="1"/>
  <c r="AC73" i="1"/>
  <c r="AC260" i="1" s="1"/>
  <c r="AF73" i="1"/>
  <c r="AF260" i="1" s="1"/>
  <c r="AO73" i="1"/>
  <c r="AL73" i="1"/>
  <c r="W296" i="1"/>
  <c r="W298" i="1"/>
  <c r="K298" i="1" s="1"/>
  <c r="AL147" i="1"/>
  <c r="AO147" i="1"/>
  <c r="M131" i="1"/>
  <c r="O131" i="1"/>
  <c r="AL37" i="1"/>
  <c r="AO37" i="1"/>
  <c r="AF97" i="1"/>
  <c r="AF215" i="1" s="1"/>
  <c r="AC97" i="1"/>
  <c r="AC215" i="1" s="1"/>
  <c r="AC45" i="1"/>
  <c r="AC270" i="1" s="1"/>
  <c r="AF45" i="1"/>
  <c r="AL119" i="1"/>
  <c r="AO119" i="1"/>
  <c r="AC37" i="1"/>
  <c r="AF37" i="1"/>
  <c r="AO85" i="1"/>
  <c r="AO264" i="1" s="1"/>
  <c r="AL85" i="1"/>
  <c r="AL264" i="1" s="1"/>
  <c r="AO63" i="1"/>
  <c r="AO250" i="1" s="1"/>
  <c r="AL63" i="1"/>
  <c r="AC63" i="1"/>
  <c r="AC250" i="1" s="1"/>
  <c r="AF63" i="1"/>
  <c r="AL87" i="1"/>
  <c r="AO87" i="1"/>
  <c r="AC79" i="1"/>
  <c r="AF79" i="1"/>
  <c r="AO187" i="1"/>
  <c r="AL187" i="1"/>
  <c r="AO81" i="1"/>
  <c r="AO286" i="1" s="1"/>
  <c r="AL81" i="1"/>
  <c r="AF85" i="1"/>
  <c r="AF264" i="1" s="1"/>
  <c r="AC85" i="1"/>
  <c r="AC264" i="1" s="1"/>
  <c r="M72" i="15"/>
  <c r="W215" i="1"/>
  <c r="AF187" i="1"/>
  <c r="AC187" i="1"/>
  <c r="AO115" i="1"/>
  <c r="AL115" i="1"/>
  <c r="T252" i="1" l="1"/>
  <c r="T250" i="1"/>
  <c r="W284" i="1"/>
  <c r="K284" i="1" s="1"/>
  <c r="AC254" i="1"/>
  <c r="J72" i="15"/>
  <c r="AF254" i="1"/>
  <c r="M254" i="1" s="1"/>
  <c r="J6" i="14" s="1"/>
  <c r="O329" i="1"/>
  <c r="K6" i="13" s="1"/>
  <c r="K47" i="5"/>
  <c r="J60" i="15"/>
  <c r="J62" i="15" s="1"/>
  <c r="J64" i="15" s="1"/>
  <c r="J68" i="15" s="1"/>
  <c r="O207" i="1"/>
  <c r="O205" i="1"/>
  <c r="O203" i="1" s="1"/>
  <c r="T306" i="1"/>
  <c r="T314" i="1" s="1"/>
  <c r="O270" i="1"/>
  <c r="O209" i="1"/>
  <c r="M123" i="1"/>
  <c r="M121" i="1" s="1"/>
  <c r="M252" i="1"/>
  <c r="J5" i="14" s="1"/>
  <c r="K221" i="1"/>
  <c r="K219" i="1" s="1"/>
  <c r="T282" i="1"/>
  <c r="K282" i="1" s="1"/>
  <c r="AC294" i="1"/>
  <c r="T260" i="1"/>
  <c r="W286" i="1"/>
  <c r="W121" i="1"/>
  <c r="T121" i="1"/>
  <c r="W254" i="1"/>
  <c r="K254" i="1" s="1"/>
  <c r="I6" i="14" s="1"/>
  <c r="T327" i="1"/>
  <c r="T268" i="1"/>
  <c r="K268" i="1" s="1"/>
  <c r="H22" i="5"/>
  <c r="H47" i="5" s="1"/>
  <c r="W155" i="1"/>
  <c r="K155" i="1" s="1"/>
  <c r="K153" i="1" s="1"/>
  <c r="W250" i="1"/>
  <c r="K250" i="1" s="1"/>
  <c r="I4" i="14" s="1"/>
  <c r="T254" i="1"/>
  <c r="W75" i="1"/>
  <c r="W260" i="1" s="1"/>
  <c r="K260" i="1" s="1"/>
  <c r="I9" i="14" s="1"/>
  <c r="E47" i="5"/>
  <c r="W252" i="1"/>
  <c r="K252" i="1" s="1"/>
  <c r="I5" i="14" s="1"/>
  <c r="M306" i="1"/>
  <c r="AF314" i="1"/>
  <c r="M314" i="1" s="1"/>
  <c r="R61" i="1"/>
  <c r="R213" i="1"/>
  <c r="W323" i="1"/>
  <c r="W333" i="1" s="1"/>
  <c r="AC193" i="1"/>
  <c r="AC197" i="1"/>
  <c r="AC201" i="1"/>
  <c r="AC199" i="1"/>
  <c r="AC195" i="1"/>
  <c r="Q41" i="5"/>
  <c r="Q30" i="5"/>
  <c r="Q31" i="5"/>
  <c r="Q32" i="5"/>
  <c r="Q35" i="5"/>
  <c r="Q33" i="5"/>
  <c r="Q40" i="5"/>
  <c r="Q37" i="5"/>
  <c r="Q44" i="5"/>
  <c r="Q45" i="5"/>
  <c r="Q43" i="5"/>
  <c r="Q36" i="5"/>
  <c r="Q42" i="5"/>
  <c r="Q34" i="5"/>
  <c r="AF213" i="1"/>
  <c r="AC213" i="1"/>
  <c r="AO193" i="1"/>
  <c r="AO201" i="1"/>
  <c r="AO197" i="1"/>
  <c r="AO199" i="1"/>
  <c r="AO195" i="1"/>
  <c r="AC139" i="1"/>
  <c r="AC145" i="1"/>
  <c r="AC137" i="1"/>
  <c r="AC143" i="1"/>
  <c r="AC141" i="1"/>
  <c r="AL139" i="1"/>
  <c r="AL137" i="1"/>
  <c r="AL143" i="1"/>
  <c r="AL141" i="1"/>
  <c r="AL145" i="1"/>
  <c r="T141" i="1"/>
  <c r="T143" i="1"/>
  <c r="T145" i="1"/>
  <c r="T139" i="1"/>
  <c r="T137" i="1"/>
  <c r="AO252" i="1"/>
  <c r="O252" i="1" s="1"/>
  <c r="K5" i="14" s="1"/>
  <c r="AC61" i="1"/>
  <c r="AF61" i="1"/>
  <c r="AF201" i="1"/>
  <c r="AF199" i="1"/>
  <c r="AF195" i="1"/>
  <c r="AF193" i="1"/>
  <c r="AF321" i="1" s="1"/>
  <c r="AF197" i="1"/>
  <c r="AO254" i="1"/>
  <c r="AF268" i="1"/>
  <c r="M268" i="1" s="1"/>
  <c r="AO268" i="1"/>
  <c r="O268" i="1" s="1"/>
  <c r="AL199" i="1"/>
  <c r="AL193" i="1"/>
  <c r="AL201" i="1"/>
  <c r="AL195" i="1"/>
  <c r="AL197" i="1"/>
  <c r="AF139" i="1"/>
  <c r="AF141" i="1"/>
  <c r="AF143" i="1"/>
  <c r="AF145" i="1"/>
  <c r="AF137" i="1"/>
  <c r="AO137" i="1"/>
  <c r="AO327" i="1" s="1"/>
  <c r="AO139" i="1"/>
  <c r="AO141" i="1"/>
  <c r="AO143" i="1"/>
  <c r="AO145" i="1"/>
  <c r="W141" i="1"/>
  <c r="W143" i="1"/>
  <c r="W137" i="1"/>
  <c r="W327" i="1" s="1"/>
  <c r="W145" i="1"/>
  <c r="W139" i="1"/>
  <c r="AL252" i="1"/>
  <c r="T38" i="5"/>
  <c r="T46" i="5"/>
  <c r="T39" i="5"/>
  <c r="T284" i="1"/>
  <c r="AL286" i="1"/>
  <c r="O286" i="1" s="1"/>
  <c r="AC268" i="1"/>
  <c r="AL268" i="1"/>
  <c r="N47" i="5"/>
  <c r="Q39" i="5"/>
  <c r="Q38" i="5"/>
  <c r="Q46" i="5"/>
  <c r="W197" i="1"/>
  <c r="W195" i="1"/>
  <c r="W199" i="1"/>
  <c r="AC341" i="1"/>
  <c r="AC339" i="1" s="1"/>
  <c r="AC296" i="1" s="1"/>
  <c r="AC343" i="1"/>
  <c r="AF270" i="1"/>
  <c r="M270" i="1" s="1"/>
  <c r="AF341" i="1"/>
  <c r="AF339" i="1" s="1"/>
  <c r="M339" i="1" s="1"/>
  <c r="J7" i="13" s="1"/>
  <c r="AF343" i="1"/>
  <c r="T37" i="5"/>
  <c r="T32" i="5"/>
  <c r="T33" i="5"/>
  <c r="T41" i="5"/>
  <c r="T45" i="5"/>
  <c r="T44" i="5"/>
  <c r="T40" i="5"/>
  <c r="T35" i="5"/>
  <c r="T42" i="5"/>
  <c r="T31" i="5"/>
  <c r="T43" i="5"/>
  <c r="T34" i="5"/>
  <c r="T30" i="5"/>
  <c r="T36" i="5"/>
  <c r="AL298" i="1"/>
  <c r="O298" i="1" s="1"/>
  <c r="W270" i="1"/>
  <c r="K270" i="1" s="1"/>
  <c r="T270" i="1"/>
  <c r="T286" i="1"/>
  <c r="T323" i="1"/>
  <c r="T333" i="1" s="1"/>
  <c r="H14" i="5"/>
  <c r="H15" i="5" s="1"/>
  <c r="H34" i="5" s="1"/>
  <c r="AF250" i="1"/>
  <c r="M250" i="1" s="1"/>
  <c r="J4" i="14" s="1"/>
  <c r="O294" i="1"/>
  <c r="AF101" i="1"/>
  <c r="M101" i="1" s="1"/>
  <c r="M99" i="1" s="1"/>
  <c r="AF99" i="1" s="1"/>
  <c r="M62" i="15"/>
  <c r="M64" i="15" s="1"/>
  <c r="M68" i="15" s="1"/>
  <c r="E14" i="5"/>
  <c r="E15" i="5" s="1"/>
  <c r="T101" i="1"/>
  <c r="K101" i="1" s="1"/>
  <c r="K99" i="1" s="1"/>
  <c r="K296" i="1"/>
  <c r="N35" i="5"/>
  <c r="M70" i="15"/>
  <c r="C56" i="15"/>
  <c r="E56" i="15" s="1"/>
  <c r="AL254" i="1"/>
  <c r="O264" i="1"/>
  <c r="K11" i="14" s="1"/>
  <c r="O296" i="1"/>
  <c r="M260" i="1"/>
  <c r="J9" i="14" s="1"/>
  <c r="M264" i="1"/>
  <c r="J11" i="14" s="1"/>
  <c r="AL250" i="1"/>
  <c r="O250" i="1" s="1"/>
  <c r="K4" i="14" s="1"/>
  <c r="M288" i="1"/>
  <c r="N43" i="5"/>
  <c r="N41" i="5"/>
  <c r="N38" i="5"/>
  <c r="N37" i="5"/>
  <c r="AC321" i="1"/>
  <c r="N40" i="5"/>
  <c r="N30" i="5"/>
  <c r="N36" i="5"/>
  <c r="N51" i="5" s="1"/>
  <c r="N52" i="5" s="1"/>
  <c r="AD14" i="1" s="1"/>
  <c r="AF317" i="1" s="1"/>
  <c r="N42" i="5"/>
  <c r="N46" i="5"/>
  <c r="N32" i="5"/>
  <c r="N31" i="5"/>
  <c r="AL327" i="1"/>
  <c r="N45" i="5"/>
  <c r="N33" i="5"/>
  <c r="K32" i="5"/>
  <c r="K41" i="5"/>
  <c r="K37" i="5"/>
  <c r="K35" i="5"/>
  <c r="K39" i="5"/>
  <c r="K34" i="5"/>
  <c r="K44" i="5"/>
  <c r="K38" i="5"/>
  <c r="K46" i="5"/>
  <c r="K42" i="5"/>
  <c r="K43" i="5"/>
  <c r="K33" i="5"/>
  <c r="K45" i="5"/>
  <c r="K31" i="5"/>
  <c r="K36" i="5"/>
  <c r="K51" i="5" s="1"/>
  <c r="K52" i="5" s="1"/>
  <c r="AD13" i="1" s="1"/>
  <c r="AC317" i="1" s="1"/>
  <c r="AC290" i="1" s="1"/>
  <c r="K40" i="5"/>
  <c r="K30" i="5"/>
  <c r="T22" i="5"/>
  <c r="AO123" i="1"/>
  <c r="AO155" i="1"/>
  <c r="AO131" i="1"/>
  <c r="T23" i="5" s="1"/>
  <c r="AL131" i="1"/>
  <c r="Q23" i="5" s="1"/>
  <c r="N34" i="5"/>
  <c r="N44" i="5"/>
  <c r="AC298" i="1"/>
  <c r="AL155" i="1"/>
  <c r="Q22" i="5"/>
  <c r="AL77" i="1"/>
  <c r="AO77" i="1" s="1"/>
  <c r="O77" i="1" s="1"/>
  <c r="O75" i="1" s="1"/>
  <c r="AL123" i="1"/>
  <c r="AF298" i="1"/>
  <c r="AF294" i="1"/>
  <c r="N39" i="5"/>
  <c r="W219" i="1" l="1"/>
  <c r="T219" i="1"/>
  <c r="J70" i="15"/>
  <c r="J66" i="15"/>
  <c r="E10" i="5"/>
  <c r="M294" i="1"/>
  <c r="K286" i="1"/>
  <c r="O254" i="1"/>
  <c r="K6" i="14" s="1"/>
  <c r="T278" i="1"/>
  <c r="W153" i="1"/>
  <c r="W306" i="1" s="1"/>
  <c r="W278" i="1"/>
  <c r="AF296" i="1"/>
  <c r="M296" i="1" s="1"/>
  <c r="AF209" i="1"/>
  <c r="AF207" i="1" s="1"/>
  <c r="W213" i="1"/>
  <c r="T213" i="1"/>
  <c r="T256" i="1" s="1"/>
  <c r="T61" i="1"/>
  <c r="W61" i="1"/>
  <c r="W256" i="1" s="1"/>
  <c r="K256" i="1" s="1"/>
  <c r="I7" i="14" s="1"/>
  <c r="H36" i="5"/>
  <c r="H37" i="5"/>
  <c r="H31" i="5"/>
  <c r="H35" i="5"/>
  <c r="H32" i="5"/>
  <c r="H33" i="5"/>
  <c r="H30" i="5"/>
  <c r="M74" i="15"/>
  <c r="M76" i="15" s="1"/>
  <c r="E58" i="15"/>
  <c r="C28" i="14"/>
  <c r="O123" i="1"/>
  <c r="M298" i="1"/>
  <c r="W99" i="1"/>
  <c r="W276" i="1" s="1"/>
  <c r="T99" i="1"/>
  <c r="T276" i="1" s="1"/>
  <c r="AC99" i="1"/>
  <c r="AC302" i="1" s="1"/>
  <c r="AC310" i="1" s="1"/>
  <c r="E36" i="5"/>
  <c r="E31" i="5"/>
  <c r="E35" i="5"/>
  <c r="E37" i="5"/>
  <c r="E34" i="5"/>
  <c r="E32" i="5"/>
  <c r="E33" i="5"/>
  <c r="E30" i="5"/>
  <c r="O155" i="1"/>
  <c r="O153" i="1" s="1"/>
  <c r="AO153" i="1" s="1"/>
  <c r="AO306" i="1" s="1"/>
  <c r="AF290" i="1"/>
  <c r="M290" i="1" s="1"/>
  <c r="T47" i="5"/>
  <c r="T51" i="5" s="1"/>
  <c r="T52" i="5" s="1"/>
  <c r="AD16" i="1" s="1"/>
  <c r="AO317" i="1" s="1"/>
  <c r="AO290" i="1" s="1"/>
  <c r="AF319" i="1"/>
  <c r="AF292" i="1" s="1"/>
  <c r="M317" i="1"/>
  <c r="J4" i="13" s="1"/>
  <c r="AC319" i="1"/>
  <c r="Q47" i="5"/>
  <c r="Q51" i="5" s="1"/>
  <c r="Q52" i="5" s="1"/>
  <c r="AD15" i="1" s="1"/>
  <c r="AL317" i="1" s="1"/>
  <c r="AL290" i="1" s="1"/>
  <c r="AC209" i="1"/>
  <c r="AC207" i="1" s="1"/>
  <c r="AF302" i="1"/>
  <c r="AF276" i="1"/>
  <c r="AO75" i="1"/>
  <c r="AO260" i="1" s="1"/>
  <c r="AL75" i="1"/>
  <c r="AL260" i="1" s="1"/>
  <c r="J74" i="15" l="1"/>
  <c r="J76" i="15" s="1"/>
  <c r="E41" i="5"/>
  <c r="E45" i="5"/>
  <c r="E40" i="5"/>
  <c r="E44" i="5"/>
  <c r="K278" i="1"/>
  <c r="E46" i="5"/>
  <c r="E51" i="5" s="1"/>
  <c r="E52" i="5" s="1"/>
  <c r="AD11" i="1" s="1"/>
  <c r="T317" i="1" s="1"/>
  <c r="T325" i="1" s="1"/>
  <c r="T337" i="1" s="1"/>
  <c r="T329" i="1" s="1"/>
  <c r="T294" i="1" s="1"/>
  <c r="M78" i="15"/>
  <c r="M80" i="15" s="1"/>
  <c r="E42" i="5"/>
  <c r="E38" i="5"/>
  <c r="E43" i="5"/>
  <c r="E39" i="5"/>
  <c r="H10" i="5"/>
  <c r="W225" i="1"/>
  <c r="T225" i="1" s="1"/>
  <c r="W314" i="1"/>
  <c r="K314" i="1" s="1"/>
  <c r="K306" i="1"/>
  <c r="O121" i="1"/>
  <c r="AO121" i="1" s="1"/>
  <c r="C60" i="15"/>
  <c r="J78" i="15"/>
  <c r="J80" i="15" s="1"/>
  <c r="AL153" i="1"/>
  <c r="AF347" i="1"/>
  <c r="AF350" i="1" s="1"/>
  <c r="M207" i="1"/>
  <c r="W302" i="1"/>
  <c r="W310" i="1" s="1"/>
  <c r="M319" i="1"/>
  <c r="J5" i="13" s="1"/>
  <c r="AL319" i="1"/>
  <c r="AL292" i="1" s="1"/>
  <c r="AC276" i="1"/>
  <c r="M276" i="1" s="1"/>
  <c r="T302" i="1"/>
  <c r="T310" i="1" s="1"/>
  <c r="AO319" i="1"/>
  <c r="AO347" i="1" s="1"/>
  <c r="AO350" i="1" s="1"/>
  <c r="M209" i="1"/>
  <c r="O317" i="1"/>
  <c r="K4" i="13" s="1"/>
  <c r="O290" i="1"/>
  <c r="K276" i="1"/>
  <c r="AC347" i="1"/>
  <c r="AC350" i="1" s="1"/>
  <c r="AC292" i="1"/>
  <c r="O306" i="1"/>
  <c r="AO314" i="1"/>
  <c r="O314" i="1" s="1"/>
  <c r="AF310" i="1"/>
  <c r="M310" i="1" s="1"/>
  <c r="M302" i="1"/>
  <c r="O260" i="1"/>
  <c r="K9" i="14" s="1"/>
  <c r="C48" i="14" s="1"/>
  <c r="AF312" i="1"/>
  <c r="K225" i="1" l="1"/>
  <c r="K223" i="1" s="1"/>
  <c r="H45" i="5"/>
  <c r="H41" i="5"/>
  <c r="H40" i="5"/>
  <c r="H39" i="5"/>
  <c r="H38" i="5"/>
  <c r="H44" i="5"/>
  <c r="H42" i="5"/>
  <c r="H46" i="5"/>
  <c r="H51" i="5" s="1"/>
  <c r="H52" i="5" s="1"/>
  <c r="AD12" i="1" s="1"/>
  <c r="W317" i="1" s="1"/>
  <c r="W290" i="1" s="1"/>
  <c r="H43" i="5"/>
  <c r="AO278" i="1"/>
  <c r="O278" i="1" s="1"/>
  <c r="AO302" i="1"/>
  <c r="AO310" i="1" s="1"/>
  <c r="AL121" i="1"/>
  <c r="AL278" i="1" s="1"/>
  <c r="AL312" i="1" s="1"/>
  <c r="T319" i="1"/>
  <c r="T347" i="1" s="1"/>
  <c r="T350" i="1" s="1"/>
  <c r="W325" i="1"/>
  <c r="W337" i="1" s="1"/>
  <c r="W329" i="1" s="1"/>
  <c r="T290" i="1"/>
  <c r="AL347" i="1"/>
  <c r="AL350" i="1" s="1"/>
  <c r="O350" i="1" s="1"/>
  <c r="AO292" i="1"/>
  <c r="O292" i="1" s="1"/>
  <c r="O319" i="1"/>
  <c r="K5" i="13" s="1"/>
  <c r="AC312" i="1"/>
  <c r="M312" i="1" s="1"/>
  <c r="M353" i="1" s="1"/>
  <c r="K310" i="1"/>
  <c r="K302" i="1"/>
  <c r="M350" i="1"/>
  <c r="M292" i="1"/>
  <c r="M347" i="1"/>
  <c r="C28" i="13" s="1"/>
  <c r="C58" i="15"/>
  <c r="W223" i="1" l="1"/>
  <c r="T223" i="1"/>
  <c r="T258" i="1"/>
  <c r="W258" i="1"/>
  <c r="K258" i="1" s="1"/>
  <c r="I8" i="14" s="1"/>
  <c r="C8" i="14" s="1"/>
  <c r="K317" i="1"/>
  <c r="I4" i="13" s="1"/>
  <c r="AL302" i="1"/>
  <c r="T209" i="1"/>
  <c r="T207" i="1" s="1"/>
  <c r="T292" i="1"/>
  <c r="K290" i="1"/>
  <c r="W294" i="1"/>
  <c r="K294" i="1" s="1"/>
  <c r="K329" i="1"/>
  <c r="I6" i="13" s="1"/>
  <c r="W319" i="1"/>
  <c r="W209" i="1" s="1"/>
  <c r="W207" i="1" s="1"/>
  <c r="O347" i="1"/>
  <c r="C48" i="13" s="1"/>
  <c r="AO312" i="1"/>
  <c r="O312" i="1" s="1"/>
  <c r="T312" i="1" l="1"/>
  <c r="AL310" i="1"/>
  <c r="O310" i="1" s="1"/>
  <c r="O353" i="1" s="1"/>
  <c r="O302" i="1"/>
  <c r="K209" i="1"/>
  <c r="K207" i="1"/>
  <c r="W347" i="1"/>
  <c r="W292" i="1"/>
  <c r="K319" i="1"/>
  <c r="I5" i="13" s="1"/>
  <c r="W350" i="1" l="1"/>
  <c r="K350" i="1" s="1"/>
  <c r="K347" i="1"/>
  <c r="C8" i="13" s="1"/>
  <c r="W312" i="1"/>
  <c r="K312" i="1" s="1"/>
  <c r="K353" i="1" s="1"/>
  <c r="K292" i="1"/>
  <c r="K354" i="1" l="1"/>
  <c r="M354" i="1"/>
  <c r="O354" i="1"/>
</calcChain>
</file>

<file path=xl/comments1.xml><?xml version="1.0" encoding="utf-8"?>
<comments xmlns="http://schemas.openxmlformats.org/spreadsheetml/2006/main">
  <authors>
    <author>John Crane, Inc.</author>
  </authors>
  <commentList>
    <comment ref="D55" authorId="0">
      <text>
        <r>
          <rPr>
            <b/>
            <sz val="10"/>
            <color indexed="81"/>
            <rFont val="Tahoma"/>
            <family val="2"/>
          </rPr>
          <t>These are the costs associated with the consumption of utilities needed to support the sealing scenario such as cooling water, flush and quench fluids, buffer and barrier fluids, barrier gas, and/or effluent treatment.</t>
        </r>
      </text>
    </comment>
    <comment ref="D56" authorId="0">
      <text>
        <r>
          <rPr>
            <b/>
            <sz val="10"/>
            <color indexed="81"/>
            <rFont val="Tahoma"/>
            <family val="2"/>
          </rPr>
          <t>These are the collateral costs associated with the need to perform repairs and replace parts on the equipment due to the failure of the sealing solution.</t>
        </r>
      </text>
    </comment>
    <comment ref="D57" authorId="0">
      <text>
        <r>
          <rPr>
            <b/>
            <sz val="10"/>
            <color indexed="81"/>
            <rFont val="Tahoma"/>
            <family val="2"/>
          </rPr>
          <t>These are the costs associated with the reconditioning of the mechanical seal or sealless pump, or the replacement of the packing, lantern ring, and sleeve.</t>
        </r>
      </text>
    </comment>
    <comment ref="D58" authorId="0">
      <text>
        <r>
          <rPr>
            <b/>
            <sz val="10"/>
            <color indexed="81"/>
            <rFont val="Tahoma"/>
            <family val="2"/>
          </rPr>
          <t>This is the cost of lost production resulting from the unexpected failure of the sealing solution affecting the operation of an entire production unit. It is seldom a precisely calculated value, but rather a rule-of-thumb estimate of the "opportunity cost" of downtime.</t>
        </r>
      </text>
    </comment>
    <comment ref="D59" authorId="0">
      <text>
        <r>
          <rPr>
            <b/>
            <sz val="10"/>
            <color indexed="81"/>
            <rFont val="Tahoma"/>
            <family val="2"/>
          </rPr>
          <t>This is the cost of complying with environmental regulations for the particular scenario selected (e.g. monthly OVA sniffing of single seals). It could also include penalties and fines for fugitive emissions if these are regularly occurring in an existing application.</t>
        </r>
      </text>
    </comment>
    <comment ref="D60" authorId="0">
      <text>
        <r>
          <rPr>
            <b/>
            <sz val="10"/>
            <color indexed="81"/>
            <rFont val="Tahoma"/>
            <family val="2"/>
          </rPr>
          <t>This is the frictional power consumed by the seal or packing, or the incremental power consumed by the sealless pump due to its comparatively lower efficiency (i.e. total power consumed minus power consumed by a conventional pump). It is also the energy consumed in additional downstream processing to remove flush-to-process dilution and/or restore process temperature (see the EXTERNAL FLUSH page for additional detail).</t>
        </r>
      </text>
    </comment>
    <comment ref="D61" authorId="0">
      <text>
        <r>
          <rPr>
            <b/>
            <sz val="10"/>
            <color indexed="81"/>
            <rFont val="Tahoma"/>
            <family val="2"/>
          </rPr>
          <t>This is the initial cost to purchase the sealing solution, and may include engineering, bid process expenses, PO administration, testing, source inspection, and initial spares as appropriate, provided all scenarios are treated in a similar fashion.</t>
        </r>
      </text>
    </comment>
    <comment ref="D62" authorId="0">
      <text>
        <r>
          <rPr>
            <b/>
            <sz val="10"/>
            <color indexed="81"/>
            <rFont val="Tahoma"/>
            <family val="2"/>
          </rPr>
          <t>These costs may include special area preparations, installation and connection of utilities piping systems, electrical wiring and instrumentation, installation of auxiliary systems, and special services required at start-up.</t>
        </r>
      </text>
    </comment>
    <comment ref="D63" authorId="0">
      <text>
        <r>
          <rPr>
            <b/>
            <sz val="10"/>
            <color indexed="81"/>
            <rFont val="Tahoma"/>
            <family val="2"/>
          </rPr>
          <t>Although not usually considered, the disposal costs for a sealless pump, several mechanical seal assemblies, or many packing sets consumed over the lifetime of the equipment may be significant if the product handled is extremely hazardous.</t>
        </r>
      </text>
    </comment>
  </commentList>
</comments>
</file>

<file path=xl/comments2.xml><?xml version="1.0" encoding="utf-8"?>
<comments xmlns="http://schemas.openxmlformats.org/spreadsheetml/2006/main">
  <authors>
    <author>Smiths Group</author>
  </authors>
  <commentList>
    <comment ref="D57" authorId="0">
      <text>
        <r>
          <rPr>
            <b/>
            <sz val="8"/>
            <color indexed="81"/>
            <rFont val="Tahoma"/>
            <family val="2"/>
          </rPr>
          <t>This method can be calculated by changing the PACKING FLUSH FLUID FLOWRATE in SECTION 6 to 1.7 times the packing leakage rate.  The packing leakage rate can be found in SECTION 4, PRODUCT LOSS FLOWRATE in the INPUT/OUTPUT worksheet.</t>
        </r>
      </text>
    </comment>
  </commentList>
</comments>
</file>

<file path=xl/comments3.xml><?xml version="1.0" encoding="utf-8"?>
<comments xmlns="http://schemas.openxmlformats.org/spreadsheetml/2006/main">
  <authors>
    <author xml:space="preserve"> Mark Savage</author>
    <author>Smiths Group</author>
  </authors>
  <commentList>
    <comment ref="B12" authorId="0">
      <text>
        <r>
          <rPr>
            <b/>
            <sz val="8"/>
            <color indexed="81"/>
            <rFont val="Tahoma"/>
            <family val="2"/>
          </rPr>
          <t>This is an estimate of the cost to reverse the effects of flush liquid dilution on the process  through downstream evaporation/removal of the flush liquid and/or heating or cooling to restore the process temperature.
See the Flush Plans page for additional details.</t>
        </r>
        <r>
          <rPr>
            <sz val="8"/>
            <color indexed="81"/>
            <rFont val="Tahoma"/>
            <family val="2"/>
          </rPr>
          <t xml:space="preserve">
</t>
        </r>
      </text>
    </comment>
    <comment ref="K28" authorId="1">
      <text>
        <r>
          <rPr>
            <b/>
            <sz val="8"/>
            <color indexed="81"/>
            <rFont val="Tahoma"/>
            <family val="2"/>
          </rPr>
          <t>Select Units</t>
        </r>
      </text>
    </comment>
    <comment ref="G45" authorId="1">
      <text>
        <r>
          <rPr>
            <b/>
            <sz val="8"/>
            <color indexed="81"/>
            <rFont val="Tahoma"/>
            <family val="2"/>
          </rPr>
          <t xml:space="preserve">This is the COLLATERAL cost to repair the equipment (new bearings, gaskets, etc.) NOT INCLUDING the cost to repair the seal, or replace the packing. </t>
        </r>
      </text>
    </comment>
    <comment ref="E135" authorId="1">
      <text>
        <r>
          <rPr>
            <b/>
            <sz val="8"/>
            <color indexed="81"/>
            <rFont val="Tahoma"/>
            <family val="2"/>
          </rPr>
          <t>To view fluid properties or add a custom fluid, see Flush Fluid Selector Table on Assumptions page.</t>
        </r>
      </text>
    </comment>
    <comment ref="F149" authorId="1">
      <text>
        <r>
          <rPr>
            <b/>
            <sz val="8"/>
            <color indexed="81"/>
            <rFont val="Tahoma"/>
            <family val="2"/>
          </rPr>
          <t>This is an estimate of the amount of flush fluid dilution into the process, expressed as a % of the total flush flowrate.
See the Flush Plans page for additional details.</t>
        </r>
      </text>
    </comment>
    <comment ref="E191" authorId="1">
      <text>
        <r>
          <rPr>
            <b/>
            <sz val="8"/>
            <color indexed="81"/>
            <rFont val="Tahoma"/>
            <family val="2"/>
          </rPr>
          <t>To view fluid properties or add a custom fluid, see Flush Fluid Selector Table on Assumptions page.</t>
        </r>
      </text>
    </comment>
    <comment ref="I203" authorId="1">
      <text>
        <r>
          <rPr>
            <b/>
            <sz val="8"/>
            <color indexed="81"/>
            <rFont val="Tahoma"/>
            <family val="2"/>
          </rPr>
          <t>21°C (70°F) for flush fluid
65°C (150°F) for barrier fluid</t>
        </r>
      </text>
    </comment>
    <comment ref="I219" authorId="1">
      <text>
        <r>
          <rPr>
            <b/>
            <sz val="8"/>
            <color indexed="81"/>
            <rFont val="Tahoma"/>
            <family val="2"/>
          </rPr>
          <t xml:space="preserve">2 Barg (30 psig) over seal chamber pressure for dual seals, or 0.35 Barg (5 psig) for secondary containment seals.
</t>
        </r>
      </text>
    </comment>
    <comment ref="I221" authorId="1">
      <text>
        <r>
          <rPr>
            <b/>
            <sz val="8"/>
            <color indexed="81"/>
            <rFont val="Tahoma"/>
            <family val="2"/>
          </rPr>
          <t xml:space="preserve">2 Barg (30 psig) over seal chamber pressure for dual seals, or 0.35 Barg (5 psig) for secondary containment seals.
</t>
        </r>
      </text>
    </comment>
    <comment ref="K237" authorId="1">
      <text>
        <r>
          <rPr>
            <b/>
            <sz val="8"/>
            <color indexed="81"/>
            <rFont val="Tahoma"/>
            <family val="2"/>
          </rPr>
          <t>(User to add notes here)</t>
        </r>
        <r>
          <rPr>
            <sz val="8"/>
            <color indexed="81"/>
            <rFont val="Tahoma"/>
            <family val="2"/>
          </rPr>
          <t xml:space="preserve">
</t>
        </r>
      </text>
    </comment>
    <comment ref="M237" authorId="1">
      <text>
        <r>
          <rPr>
            <b/>
            <sz val="8"/>
            <color indexed="81"/>
            <rFont val="Tahoma"/>
            <family val="2"/>
          </rPr>
          <t>(User to add notes here)</t>
        </r>
        <r>
          <rPr>
            <sz val="8"/>
            <color indexed="81"/>
            <rFont val="Tahoma"/>
            <family val="2"/>
          </rPr>
          <t xml:space="preserve">
</t>
        </r>
      </text>
    </comment>
    <comment ref="O237" authorId="1">
      <text>
        <r>
          <rPr>
            <b/>
            <sz val="8"/>
            <color indexed="81"/>
            <rFont val="Tahoma"/>
            <family val="2"/>
          </rPr>
          <t>(User to add notes here)</t>
        </r>
      </text>
    </comment>
    <comment ref="H262" authorId="1">
      <text>
        <r>
          <rPr>
            <b/>
            <sz val="8"/>
            <color indexed="81"/>
            <rFont val="Tahoma"/>
            <family val="2"/>
          </rPr>
          <t>Does not include costs associated with barrier fluid cycling.</t>
        </r>
        <r>
          <rPr>
            <sz val="8"/>
            <color indexed="81"/>
            <rFont val="Tahoma"/>
            <family val="2"/>
          </rPr>
          <t xml:space="preserve">
</t>
        </r>
      </text>
    </comment>
  </commentList>
</comments>
</file>

<file path=xl/comments4.xml><?xml version="1.0" encoding="utf-8"?>
<comments xmlns="http://schemas.openxmlformats.org/spreadsheetml/2006/main">
  <authors>
    <author>Smiths Group</author>
  </authors>
  <commentList>
    <comment ref="K9" authorId="0">
      <text>
        <r>
          <rPr>
            <b/>
            <sz val="8"/>
            <color indexed="81"/>
            <rFont val="Tahoma"/>
            <family val="2"/>
          </rPr>
          <t xml:space="preserve">This value should only be changed in consultation with your mechanical seal supplier.
</t>
        </r>
        <r>
          <rPr>
            <sz val="8"/>
            <color indexed="81"/>
            <rFont val="Tahoma"/>
            <family val="2"/>
          </rPr>
          <t xml:space="preserve">
</t>
        </r>
      </text>
    </comment>
    <comment ref="K15" authorId="0">
      <text>
        <r>
          <rPr>
            <b/>
            <sz val="8"/>
            <color indexed="81"/>
            <rFont val="Tahoma"/>
            <family val="2"/>
          </rPr>
          <t xml:space="preserve">This value should only be changed in consultation with your mechanical seal supplier.
</t>
        </r>
      </text>
    </comment>
    <comment ref="K19" authorId="0">
      <text>
        <r>
          <rPr>
            <b/>
            <sz val="8"/>
            <color indexed="81"/>
            <rFont val="Tahoma"/>
            <family val="2"/>
          </rPr>
          <t xml:space="preserve">This value should only be changed in consultation with your mechanical seal supplier.
</t>
        </r>
      </text>
    </comment>
    <comment ref="K21" authorId="0">
      <text>
        <r>
          <rPr>
            <b/>
            <sz val="8"/>
            <color indexed="81"/>
            <rFont val="Tahoma"/>
            <family val="2"/>
          </rPr>
          <t>Value Recommended in API 682</t>
        </r>
      </text>
    </comment>
    <comment ref="K33" authorId="0">
      <text>
        <r>
          <rPr>
            <b/>
            <sz val="8"/>
            <color indexed="81"/>
            <rFont val="Tahoma"/>
            <family val="2"/>
          </rPr>
          <t>The volume of a drop of liquid varies greatly with the fluid’s surface tension, density, viscosity, temperature and the shape of the surface from which it is dropping.  The default value used is the medical drop (ggt med.).</t>
        </r>
      </text>
    </comment>
    <comment ref="K67" authorId="0">
      <text>
        <r>
          <rPr>
            <b/>
            <sz val="8"/>
            <color indexed="81"/>
            <rFont val="Tahoma"/>
            <family val="2"/>
          </rPr>
          <t xml:space="preserve">This value should only be changed in consultation with your compression packing supplier.
</t>
        </r>
      </text>
    </comment>
    <comment ref="B106" authorId="0">
      <text>
        <r>
          <rPr>
            <b/>
            <sz val="8"/>
            <color indexed="81"/>
            <rFont val="Tahoma"/>
            <family val="2"/>
          </rPr>
          <t>User to add fluid name and fluid properties</t>
        </r>
      </text>
    </comment>
    <comment ref="H106" authorId="0">
      <text>
        <r>
          <rPr>
            <b/>
            <sz val="8"/>
            <color indexed="81"/>
            <rFont val="Tahoma"/>
            <family val="2"/>
          </rPr>
          <t>Only required for Plan 32 when diluent removal is necessary.</t>
        </r>
      </text>
    </comment>
    <comment ref="I106" authorId="0">
      <text>
        <r>
          <rPr>
            <b/>
            <sz val="8"/>
            <color indexed="81"/>
            <rFont val="Tahoma"/>
            <family val="2"/>
          </rPr>
          <t>Only required for Plan 32 when diluent removal is necessary.</t>
        </r>
      </text>
    </comment>
    <comment ref="J106" authorId="0">
      <text>
        <r>
          <rPr>
            <b/>
            <sz val="8"/>
            <color indexed="81"/>
            <rFont val="Tahoma"/>
            <family val="2"/>
          </rPr>
          <t>Only required for Plan 32 when diluent removal is necessary.</t>
        </r>
      </text>
    </comment>
    <comment ref="K106" authorId="0">
      <text>
        <r>
          <rPr>
            <b/>
            <sz val="8"/>
            <color indexed="81"/>
            <rFont val="Tahoma"/>
            <family val="2"/>
          </rPr>
          <t>Only required for Plan 32 when diluent removal is necessary.</t>
        </r>
      </text>
    </comment>
    <comment ref="B119" authorId="0">
      <text>
        <r>
          <rPr>
            <b/>
            <sz val="8"/>
            <color indexed="81"/>
            <rFont val="Tahoma"/>
            <family val="2"/>
          </rPr>
          <t>This default value is the USA average for 2009 published by the EPA eGRID 2012 Version 1.0 report for electricity generation sources.  This value can vary greatly in accordance with the amount of clean energy available in your locale.</t>
        </r>
        <r>
          <rPr>
            <sz val="8"/>
            <color indexed="81"/>
            <rFont val="Tahoma"/>
            <family val="2"/>
          </rPr>
          <t xml:space="preserve">
</t>
        </r>
      </text>
    </comment>
  </commentList>
</comments>
</file>

<file path=xl/sharedStrings.xml><?xml version="1.0" encoding="utf-8"?>
<sst xmlns="http://schemas.openxmlformats.org/spreadsheetml/2006/main" count="2432" uniqueCount="791">
  <si>
    <t>- Default € rate rounded to the nearest 0.05€.  Was no rounding
- Changed GPM to GPH, Cell was hidden for all selections due to format error</t>
  </si>
  <si>
    <t>Low</t>
  </si>
  <si>
    <t>??? Cell was hidden for all selections due to format error</t>
  </si>
  <si>
    <t>Cost of Loss of Production</t>
  </si>
  <si>
    <t>Default € rate rounded to the nearest 10€.  Was no rounding.  Added "per machine" to field description</t>
  </si>
  <si>
    <t>Annual Environmental Cost</t>
  </si>
  <si>
    <t>Added "per machine" to field description</t>
  </si>
  <si>
    <t>Additional Annual Costs</t>
  </si>
  <si>
    <t>Added "per seal chamber" to field description</t>
  </si>
  <si>
    <t>- Default € rate rounded to the nearest 0.05 €/m³.  Was no rounding
- Was required for Plan 54, 62 and Packing only.  Now required for Plans 52, 53+, 54, 62, 75, Packing</t>
  </si>
  <si>
    <t>Seal Initial Cost (Est. $750/Inch Diameter/Face Pair)</t>
  </si>
  <si>
    <t>Packing Initial Cost (Est. $40/Inch Diameter)</t>
  </si>
  <si>
    <t>N/A</t>
  </si>
  <si>
    <t>- Added to simplify later calculations
- Lookup data from flush fluid data on assumption tab.</t>
  </si>
  <si>
    <t>% of Flush Flow rate Entering Process</t>
  </si>
  <si>
    <t>Pump Sleeve Cost (Est. $350/Inch Diameter)</t>
  </si>
  <si>
    <t xml:space="preserve">Default for metric was 14€ /mm, now calculated using Imperial cost and exchange rate rounded to nearest 1€ </t>
  </si>
  <si>
    <t>New - Added packing disposal cost to address disposal cost discussion in Cost Definitions tab</t>
  </si>
  <si>
    <t>Default € rate rounded to the nearest 100€.  Was no rounding</t>
  </si>
  <si>
    <t>- Change l/min and GPM to l/hr and GPH.
- QUESTION: Should Leakage rate doubled for dual seals</t>
  </si>
  <si>
    <t>- Added Row
- Was using temperature calculated in assumption tab that used temperature in "Current Scenario"
- Changed so that it was calculated for each scenario and not one calculation for all scenarios (allows different pumping temps)</t>
  </si>
  <si>
    <t>Added "per seal" to unit of measure</t>
  </si>
  <si>
    <t>- Packing calculation was only % that went to atmosphere, now total entering packing box
- Unit of measure was € ($), now  € / year ($ / year)</t>
  </si>
  <si>
    <t>- Added: times number of seal chambers
- Unit of measure was € ($), now  € / year ($ / year)</t>
  </si>
  <si>
    <t>Based on labor for: Remove/Repair/Replace</t>
  </si>
  <si>
    <t>- Packing cost changed 
from: cost to remove and repair pump at packing replacement frequency 
to: remove plus repair times number of seal chambers pump at sleeve replacement frequency plus cost to repair packing times number of seal chambers at packing replacement interval
- Unit of measure was € ($), now  € / year ($ / year)</t>
  </si>
  <si>
    <t>Based on materials for: Equipment Parts</t>
  </si>
  <si>
    <t>- Packing cost changed 
from: Equipment Parts Cost Per Failure at packing replacement frequency 
to: Equipment Parts Cost Per Failure at sleeve replacement frequency times number of seal chambers.  
- Mechanical seal cost added: times number of seal chambers
- Unit of measure was € ($), now  € / year ($ / year)</t>
  </si>
  <si>
    <t>Based on additional labor for: Sealless Pump repair</t>
  </si>
  <si>
    <t>Duplicated formula.  Same as used in labor for Remove/Repair/Replace
- Unit of measure was € ($), now  € / year ($ / year)</t>
  </si>
  <si>
    <t>Based on materials for: Seal repair</t>
  </si>
  <si>
    <t>Based on materials for: Packing replacement</t>
  </si>
  <si>
    <t>Based on materials for:  Support System Parts</t>
  </si>
  <si>
    <t>Clp    Downtime and Lost Production Cost</t>
  </si>
  <si>
    <t>- Added packing sleeve to packing initial cost. 
- Added: times number of seal chambers to packing initial cost</t>
  </si>
  <si>
    <t>- Added: times number of seal chambers to seal+ system disposal cost.  
- QUESTION: Cost definitions discuss disposal of packing, but no provisions are provided to add this cost.  Should it be added? A: Yes, Added packing disposal cost times number of seal chambers</t>
  </si>
  <si>
    <t>4) Simple Payback Calculations</t>
  </si>
  <si>
    <t>272-279</t>
  </si>
  <si>
    <t>Deleted section</t>
  </si>
  <si>
    <t>5) Return on Investment</t>
  </si>
  <si>
    <t>280-282</t>
  </si>
  <si>
    <t>Heat Soak -  Plan 52, 53+, 54</t>
  </si>
  <si>
    <t>Flush Cooling -  Plan 52, 53+, 54</t>
  </si>
  <si>
    <t>Total power now includes miscellaneous power to the total sum</t>
  </si>
  <si>
    <t>Newly added</t>
  </si>
  <si>
    <t>ASSUMPTIONS</t>
  </si>
  <si>
    <t>Removed hidden heat exchanger outlet temperature calculation and moved it to row 205 of INPUT-OUTPUT worksheet.  Value now calculated for each scenario, not one calculation for all scenarios</t>
  </si>
  <si>
    <t>Changed metric default value from 12.70 to 12.00 mm</t>
  </si>
  <si>
    <t>Changed formula (Column E) so that it is independent from units of measure</t>
  </si>
  <si>
    <t>Changed text unit of measure from GPM to  in³/hr and ml/hr</t>
  </si>
  <si>
    <t>Changed title.  Added "Mechanical Seal"</t>
  </si>
  <si>
    <t>Added title "General Formula"</t>
  </si>
  <si>
    <t>Added expanded formula (Column E)</t>
  </si>
  <si>
    <t>Rearranged formula (Column E) so that it is independent from units of measure.  Changed pressure to reference ΔP</t>
  </si>
  <si>
    <t>New - Added for use in subsequent formulae</t>
  </si>
  <si>
    <t>Rearranged formula (Column E) to use defined variables</t>
  </si>
  <si>
    <t>New - value was imbedded in formula for power</t>
  </si>
  <si>
    <t>73-74</t>
  </si>
  <si>
    <t>Carbon Dioxide Equivalent (CO2e) Emission Rate</t>
  </si>
  <si>
    <t>New - Added carbon dioxide emission data and data source.</t>
  </si>
  <si>
    <t>ENERGY FOOTPRINT</t>
  </si>
  <si>
    <t>3-8</t>
  </si>
  <si>
    <t>Added table with graph data to simplify gathering of data for graphs.</t>
  </si>
  <si>
    <t>OPERATING COSTS</t>
  </si>
  <si>
    <t>3-11</t>
  </si>
  <si>
    <t>BUSHING FLOW</t>
  </si>
  <si>
    <t>Bushing Flow</t>
  </si>
  <si>
    <t>2-15</t>
  </si>
  <si>
    <t>6-30</t>
  </si>
  <si>
    <t>Updated artwork of seal chamber cross-section</t>
  </si>
  <si>
    <t>3-19</t>
  </si>
  <si>
    <t>32-60</t>
  </si>
  <si>
    <t>Changed format of input and output data to match style used in INPUT-OUTPUT worksheet</t>
  </si>
  <si>
    <t>Metric default was 50.15, now 50.12 (clearance now matches inch default value)</t>
  </si>
  <si>
    <t>Change field title from "Gap" to "Radial Gap at Process Temperature".  Added warning if gap is negative, Answer is now 3 decimal places for metric, 4 decimal places for inch</t>
  </si>
  <si>
    <t>8 and 20</t>
  </si>
  <si>
    <t>92 and 105</t>
  </si>
  <si>
    <t>Coefficient of Thermal Expansion of Duplex in metric units did not match inch units.  Changed from 11.5e-6 to 10.8e-6 mm/mm/°C</t>
  </si>
  <si>
    <t>POWER CALCULATIONS</t>
  </si>
  <si>
    <t>Restructured worksheet.  Added data summary of values used in calculations that are carried over from other worksheets.  Added calculations in both metric and imperial units.  Clearly defined unit of measure for all calculated values.  Clearly indicated if calculated value is per seal or per pump</t>
  </si>
  <si>
    <t>Life Cycle Cost Estimator</t>
  </si>
  <si>
    <t>SCENARIO TYPES</t>
  </si>
  <si>
    <t>Sgl/2</t>
  </si>
  <si>
    <t>Single Seal: Plan 2 (Seal Chamber connections plugged)</t>
  </si>
  <si>
    <t>Units of measure lookup list</t>
  </si>
  <si>
    <t>Sgl/2/62</t>
  </si>
  <si>
    <t>Single Seal: Plan 2 w/ Plan 62 (Seal Chamber connections plugged / Liquid or Steam Quench)</t>
  </si>
  <si>
    <t>Metric</t>
  </si>
  <si>
    <t>Sgl/1+</t>
  </si>
  <si>
    <t>Single Seal: Plan 1, 11, 12, 13, 14, or 31 (By-pass or Recirculation)</t>
  </si>
  <si>
    <t>Imperial</t>
  </si>
  <si>
    <t>Sgl/11/62</t>
  </si>
  <si>
    <t>Single Seal: Plan 11 w/ Plan 62 (By-pass or Recirculation / Quench)</t>
  </si>
  <si>
    <t>Sgl/21+</t>
  </si>
  <si>
    <t>Single Seal: Plan 21, 22, or 41 (Cooled By-pass)</t>
  </si>
  <si>
    <t>Unit's conversion</t>
  </si>
  <si>
    <t>Sgl/23</t>
  </si>
  <si>
    <t>Single Seal: Plan 23 (Cooled Recirculation)</t>
  </si>
  <si>
    <t>Sgl/32</t>
  </si>
  <si>
    <t>Dual/52</t>
  </si>
  <si>
    <t>Dual Seal: Plan 52 (Unpressurized Buffer Liquid)</t>
  </si>
  <si>
    <t>Dual/53+</t>
  </si>
  <si>
    <t>Dual Seal: Plan 53A, 53B, or 53C (Pressurized Barrier Liquid)</t>
  </si>
  <si>
    <t>Dual/54</t>
  </si>
  <si>
    <t>Dual Seal: Plan 54 (Pressurized Barrier Liquid from an External Source)</t>
  </si>
  <si>
    <t>Sgl/SC/72</t>
  </si>
  <si>
    <t>Single Seal w/Secondary Containment: Plan 72 (Buffer Gas Purge)</t>
  </si>
  <si>
    <t>Sgl/SC/75</t>
  </si>
  <si>
    <t>Single Seal w/Secondary Containment: Plan 75 (Vapor and Liquid Recovery)</t>
  </si>
  <si>
    <t>Sgl/SC/72/75</t>
  </si>
  <si>
    <t>Single Seal w/Secondary Containment: Plan 72/75 (Buffer Gas Purge / Vapor and Liquid Recovery)</t>
  </si>
  <si>
    <t>Sgl/SC/76</t>
  </si>
  <si>
    <t>Single Seal w/Secondary Containment: Plan 76 (Vapor Recovery No gas purge)</t>
  </si>
  <si>
    <t>Sgl/SC/72/76</t>
  </si>
  <si>
    <t>Single Seal w/Secondary Containment: Plan 72/76 (Buffer Gas Purge / Vapor Recovery)</t>
  </si>
  <si>
    <t>Sgl/SC/72/75/76</t>
  </si>
  <si>
    <t>Single Seal w/Secondary Containment: Plan 72/75/76 (Buffer Gas Purge / Vapor and Liquid Recovery)</t>
  </si>
  <si>
    <t>Dual DGS/74</t>
  </si>
  <si>
    <t>Dual Dry Gas Seal: Plan 74 (Pressurized Barrier Gas)</t>
  </si>
  <si>
    <t>Packing</t>
  </si>
  <si>
    <t>Compression Packing Set with Lantern Ring</t>
  </si>
  <si>
    <t>Sealless</t>
  </si>
  <si>
    <t>Sealless Pump (Magnetic Drive or Canned Motor)</t>
  </si>
  <si>
    <t>INPUTS</t>
  </si>
  <si>
    <t>Units  →</t>
  </si>
  <si>
    <t>1) Select Units and each Scenario Type (click cell to see the drop-down menu)</t>
  </si>
  <si>
    <t>Senario 1</t>
  </si>
  <si>
    <t>Senario 2</t>
  </si>
  <si>
    <t>2) Enter the Financial Assumptions</t>
  </si>
  <si>
    <t>Default</t>
  </si>
  <si>
    <t>Units</t>
  </si>
  <si>
    <t>Cost of Capital (PV discount rate)</t>
  </si>
  <si>
    <t>=</t>
  </si>
  <si>
    <t>Maintenance Labor Costs per Hour</t>
  </si>
  <si>
    <t>€ / Hour</t>
  </si>
  <si>
    <t>$/ Hour</t>
  </si>
  <si>
    <t>3) Enter the Equipment Information</t>
  </si>
  <si>
    <t>Equipment ID/Number</t>
  </si>
  <si>
    <t>(User info only)</t>
  </si>
  <si>
    <t>Pump 1</t>
  </si>
  <si>
    <t>Text</t>
  </si>
  <si>
    <t>Equipment Description</t>
  </si>
  <si>
    <t>Description 1</t>
  </si>
  <si>
    <t>Equipment Parts Cost Per Failure (See Comment)</t>
  </si>
  <si>
    <t>€ / Faulire</t>
  </si>
  <si>
    <t>$/ Failure</t>
  </si>
  <si>
    <t>Man-hours Required To Remove/Replace Equipment</t>
  </si>
  <si>
    <t>Hours / Failure</t>
  </si>
  <si>
    <t>Man-Hours Required To Repair Equipment</t>
  </si>
  <si>
    <t>Number of Seal Chambers</t>
  </si>
  <si>
    <t>Quantity</t>
  </si>
  <si>
    <t>Days of Equipment Operation Per Year</t>
  </si>
  <si>
    <t>Days / Year</t>
  </si>
  <si>
    <t>Estimated Equipment Lifespan</t>
  </si>
  <si>
    <t>Years</t>
  </si>
  <si>
    <t>4) Enter the Plant Utility Cost Data</t>
  </si>
  <si>
    <t>Is Cooling Water for Support System Needed?</t>
  </si>
  <si>
    <t>No</t>
  </si>
  <si>
    <t>Yes/No</t>
  </si>
  <si>
    <t>Cost of Support System Cooling Water</t>
  </si>
  <si>
    <t>€ / m³</t>
  </si>
  <si>
    <t>$ / 1000 Gallons</t>
  </si>
  <si>
    <t>Cost of External Flush Fluid</t>
  </si>
  <si>
    <t>Cost of Quench Fluid</t>
  </si>
  <si>
    <t>Is Diluent Removal Needed?</t>
  </si>
  <si>
    <t>Cost of External Barrier Fluid</t>
  </si>
  <si>
    <t>Cost of Gas Barrier or Purge</t>
  </si>
  <si>
    <t>€ / nm³</t>
  </si>
  <si>
    <t>Cost of Product Loss</t>
  </si>
  <si>
    <t>Product Loss Flowrate (Dependent On Selection)</t>
  </si>
  <si>
    <t>Cost of Electricity</t>
  </si>
  <si>
    <t>Effluent Treatment Cost</t>
  </si>
  <si>
    <t>$ / SCF</t>
  </si>
  <si>
    <t>$ / Gallon</t>
  </si>
  <si>
    <t>€ / Liter</t>
  </si>
  <si>
    <t>Data carried over from other sheets</t>
  </si>
  <si>
    <t>l / hr</t>
  </si>
  <si>
    <t>GPM</t>
  </si>
  <si>
    <t>€ / kWh</t>
  </si>
  <si>
    <t>€ / Year</t>
  </si>
  <si>
    <t>$ / kWh</t>
  </si>
  <si>
    <t>$ / Year</t>
  </si>
  <si>
    <t>Comments</t>
  </si>
  <si>
    <t>Required for plan 32 or packing</t>
  </si>
  <si>
    <t>Required for Plans 21, 23, 52, 53+, or 54 (unless air cooled heat exchanger used)</t>
  </si>
  <si>
    <t>Required for plan 62</t>
  </si>
  <si>
    <t>Required for Plans 52, 53+, or 54</t>
  </si>
  <si>
    <t>Required for Plans72 or 74</t>
  </si>
  <si>
    <t>Excludes plan 53+, 54 or 74</t>
  </si>
  <si>
    <t>Cooling water is required for Plans 21, 23, 52, 53+, or 54 (unless air cooled heat exchanger used)</t>
  </si>
  <si>
    <t>Yes</t>
  </si>
  <si>
    <t>Boolean lookup list</t>
  </si>
  <si>
    <t>Metric Units</t>
  </si>
  <si>
    <t>Imperial Units</t>
  </si>
  <si>
    <t>Packing Leakage</t>
  </si>
  <si>
    <t>Seal Leakage</t>
  </si>
  <si>
    <t>Excludes plan 53+, 54 or 74. Seal leakage constant, packing leakage is a function of shaft daimeter</t>
  </si>
  <si>
    <t>5) Enter the Mechanical Seal Scenario Data</t>
  </si>
  <si>
    <t>Speed of Rotation</t>
  </si>
  <si>
    <t>RPM</t>
  </si>
  <si>
    <t>Seal Size</t>
  </si>
  <si>
    <t>Seal Chamber Pressure</t>
  </si>
  <si>
    <t>psig</t>
  </si>
  <si>
    <t>Pump Temperature</t>
  </si>
  <si>
    <t>°F</t>
  </si>
  <si>
    <t>$</t>
  </si>
  <si>
    <t>Equipment Conversion / Modification Cost</t>
  </si>
  <si>
    <t>Anticipated Seal MTBR</t>
  </si>
  <si>
    <t>Months</t>
  </si>
  <si>
    <t>Seal Materials Repair/Replacement Cost Per Failure</t>
  </si>
  <si>
    <t>% of New</t>
  </si>
  <si>
    <t>Seal Disposal Costs</t>
  </si>
  <si>
    <t>6) Enter the Packing Scenario Data</t>
  </si>
  <si>
    <t>Sleeve Size</t>
  </si>
  <si>
    <t>Stuffing Box Pressure</t>
  </si>
  <si>
    <t>Anticipated Packing MTBR</t>
  </si>
  <si>
    <t>Packing Materials Replacement Cost Per Failure</t>
  </si>
  <si>
    <t>Packing Coefficient of Friction</t>
  </si>
  <si>
    <t>Packing Axial Length</t>
  </si>
  <si>
    <t>Packing Flush Fluid Flowrate</t>
  </si>
  <si>
    <t>Packing Flush Fluid Selector</t>
  </si>
  <si>
    <t>Water</t>
  </si>
  <si>
    <t>Flush Fluid Injection Temperature</t>
  </si>
  <si>
    <t>% of Flush Flowrate Entering Process</t>
  </si>
  <si>
    <t>%</t>
  </si>
  <si>
    <t>Pump Sleeve Replacement Frequency</t>
  </si>
  <si>
    <t>7) Enter the Seal Support System Data</t>
  </si>
  <si>
    <t>External Barrier Fluid Usage/Leakage</t>
  </si>
  <si>
    <t>Seal Flush Fluid Flowrate</t>
  </si>
  <si>
    <t>Seal Flush Fluid Selector</t>
  </si>
  <si>
    <t>Seal Flush Injection/Average Barrier Fluid Temperature</t>
  </si>
  <si>
    <t>Estimated Seal Chamber Temperature</t>
  </si>
  <si>
    <t>Seal Quench Flowrate</t>
  </si>
  <si>
    <t>Support System Cooling Water Flowrate</t>
  </si>
  <si>
    <t>Cooling Water Temperature</t>
  </si>
  <si>
    <t>Barrier Fluid / Buffer Gas Pressure</t>
  </si>
  <si>
    <t>Barrier Gas  / Buffer Gas Usage (calculated)</t>
  </si>
  <si>
    <t>SCFM</t>
  </si>
  <si>
    <t>Seal Support System Initial Cost</t>
  </si>
  <si>
    <t>Support System Materials Repair Cost Per Repair</t>
  </si>
  <si>
    <t>Anticipated Seal Support System MTBR</t>
  </si>
  <si>
    <t>Man-Hours to Remove/Repair/Replace Support System</t>
  </si>
  <si>
    <t>Hours / Repair</t>
  </si>
  <si>
    <t>Seal Support System Disposal Costs</t>
  </si>
  <si>
    <t>Miscellaneous Energy Usage</t>
  </si>
  <si>
    <t>kW</t>
  </si>
  <si>
    <t>ExchangeRate</t>
  </si>
  <si>
    <t>mm</t>
  </si>
  <si>
    <t>barg</t>
  </si>
  <si>
    <t>°C</t>
  </si>
  <si>
    <t>inch</t>
  </si>
  <si>
    <t xml:space="preserve">€ </t>
  </si>
  <si>
    <t>months</t>
  </si>
  <si>
    <t>Required for all seals</t>
  </si>
  <si>
    <t>Required for Packing only</t>
  </si>
  <si>
    <t>Packing CoEff Friction</t>
  </si>
  <si>
    <t>-</t>
  </si>
  <si>
    <t>l/min</t>
  </si>
  <si>
    <t>% of Total Flow</t>
  </si>
  <si>
    <t>Gallons/hr</t>
  </si>
  <si>
    <t>Required for Plans 21+, 23, 32</t>
  </si>
  <si>
    <t>(Calculated)</t>
  </si>
  <si>
    <t>Raw Seal Chamber Temperature</t>
  </si>
  <si>
    <t>Hidden row</t>
  </si>
  <si>
    <t>Required for Plans containing Plan 62</t>
  </si>
  <si>
    <t>Required for Plans containing heat exchanger and water required for heat exchanger (Plan 21, 23, 52, 53+, 54)</t>
  </si>
  <si>
    <t>NL/min</t>
  </si>
  <si>
    <t>Required for Plans 72, 74.  Consumption normalized against 2.7 SCFH for a 2.625" seal, 3600 RPM, 60psi box pressure, 90 psi barrier. Formula:  (2.7/60)*(Seal size/2.625")^2*(Speed/3600RPM)^0.5*((barrier pressure + seal chamber pressure)/150)^2 (SCFM)</t>
  </si>
  <si>
    <t>(User Entered Data)</t>
  </si>
  <si>
    <t>BTU/hr</t>
  </si>
  <si>
    <t>Excludes plan 2, packing, sealless pumps</t>
  </si>
  <si>
    <t>Required for Plans 21+, 23, 52, 53+, 54, 72, 74, 75, 76</t>
  </si>
  <si>
    <t>Required</t>
  </si>
  <si>
    <t>Required for all selections</t>
  </si>
  <si>
    <t>Required for Plans 52, 53+, 54, 62, 75, Packing</t>
  </si>
  <si>
    <t>Default for metric was 1750 RPM, now 1450 RPM</t>
  </si>
  <si>
    <t>Default for metric was 3.45 barg, now 3.5 Barg</t>
  </si>
  <si>
    <t>Default for metric was 38°C, now 40°C</t>
  </si>
  <si>
    <t>Required for Plans 53+, 54, 72, 74. (Plans 53+, 54, 74 = Seal chamber pressure + 2Bar/30psi, Plan 72 = 0.35Bar/5psi)</t>
  </si>
  <si>
    <t>€</t>
  </si>
  <si>
    <t>Changed nm³/min to nl/min</t>
  </si>
  <si>
    <t>OUTPUTS</t>
  </si>
  <si>
    <t>Current Scenario</t>
  </si>
  <si>
    <t>Scenario 1</t>
  </si>
  <si>
    <t>Scenario 2</t>
  </si>
  <si>
    <t>1) Annual Operating Calculations</t>
  </si>
  <si>
    <t>Based on consumption/treatment of:</t>
  </si>
  <si>
    <t>Flush</t>
  </si>
  <si>
    <t>Quench</t>
  </si>
  <si>
    <t>Effluent</t>
  </si>
  <si>
    <t>Cooling Water</t>
  </si>
  <si>
    <t>Nitrogen</t>
  </si>
  <si>
    <t>Product Loss</t>
  </si>
  <si>
    <t>Barrier Fluid</t>
  </si>
  <si>
    <t>Additional</t>
  </si>
  <si>
    <t>Figures shown in</t>
  </si>
  <si>
    <r>
      <t>C</t>
    </r>
    <r>
      <rPr>
        <b/>
        <vertAlign val="subscript"/>
        <sz val="11"/>
        <rFont val="Tahoma"/>
        <family val="2"/>
      </rPr>
      <t>o</t>
    </r>
    <r>
      <rPr>
        <b/>
        <sz val="11"/>
        <rFont val="Tahoma"/>
        <family val="2"/>
      </rPr>
      <t xml:space="preserve">     Operating Cost</t>
    </r>
  </si>
  <si>
    <t>Based on labor for:</t>
  </si>
  <si>
    <t>Remove/Repair/Replace</t>
  </si>
  <si>
    <t>Based on materials for:</t>
  </si>
  <si>
    <t>Equipment Parts</t>
  </si>
  <si>
    <t>Based on additional labor for:</t>
  </si>
  <si>
    <t>Sealless Pump repair</t>
  </si>
  <si>
    <t>Seal repair</t>
  </si>
  <si>
    <t>Packing replacement</t>
  </si>
  <si>
    <t>Support System Parts</t>
  </si>
  <si>
    <t>Direct Power Consumption</t>
  </si>
  <si>
    <t>Heat Soak</t>
  </si>
  <si>
    <t>Flush Cooling</t>
  </si>
  <si>
    <t>Removal of Flush-to-Process Dilution</t>
  </si>
  <si>
    <t>2) One-time Costs</t>
  </si>
  <si>
    <t>3) Present Value Calculations</t>
  </si>
  <si>
    <r>
      <t>C</t>
    </r>
    <r>
      <rPr>
        <b/>
        <vertAlign val="subscript"/>
        <sz val="11"/>
        <rFont val="Tahoma"/>
        <family val="2"/>
      </rPr>
      <t>em</t>
    </r>
    <r>
      <rPr>
        <b/>
        <sz val="11"/>
        <rFont val="Tahoma"/>
        <family val="2"/>
      </rPr>
      <t xml:space="preserve">   Equipment Maintenance and Repair Cost</t>
    </r>
  </si>
  <si>
    <r>
      <t>C</t>
    </r>
    <r>
      <rPr>
        <b/>
        <vertAlign val="subscript"/>
        <sz val="11"/>
        <rFont val="Tahoma"/>
        <family val="2"/>
      </rPr>
      <t>sm</t>
    </r>
    <r>
      <rPr>
        <b/>
        <sz val="11"/>
        <rFont val="Tahoma"/>
        <family val="2"/>
      </rPr>
      <t xml:space="preserve">   Seal Maintenance and Repair Cost</t>
    </r>
  </si>
  <si>
    <r>
      <t>C</t>
    </r>
    <r>
      <rPr>
        <b/>
        <vertAlign val="subscript"/>
        <sz val="11"/>
        <rFont val="Tahoma"/>
        <family val="2"/>
      </rPr>
      <t>ssm</t>
    </r>
    <r>
      <rPr>
        <b/>
        <sz val="11"/>
        <rFont val="Tahoma"/>
        <family val="2"/>
      </rPr>
      <t xml:space="preserve">   Seal Support System Maintenance and Repair Cost</t>
    </r>
  </si>
  <si>
    <r>
      <t>C</t>
    </r>
    <r>
      <rPr>
        <b/>
        <vertAlign val="subscript"/>
        <sz val="11"/>
        <rFont val="Tahoma"/>
        <family val="2"/>
      </rPr>
      <t>lp</t>
    </r>
    <r>
      <rPr>
        <b/>
        <sz val="11"/>
        <rFont val="Tahoma"/>
        <family val="2"/>
      </rPr>
      <t xml:space="preserve">    Downtime and Lost Production Cost</t>
    </r>
  </si>
  <si>
    <r>
      <t>C</t>
    </r>
    <r>
      <rPr>
        <b/>
        <vertAlign val="subscript"/>
        <sz val="11"/>
        <rFont val="Tahoma"/>
        <family val="2"/>
      </rPr>
      <t>env</t>
    </r>
    <r>
      <rPr>
        <b/>
        <sz val="11"/>
        <rFont val="Tahoma"/>
        <family val="2"/>
      </rPr>
      <t xml:space="preserve">  Environmental Cost</t>
    </r>
  </si>
  <si>
    <r>
      <t>C</t>
    </r>
    <r>
      <rPr>
        <b/>
        <vertAlign val="subscript"/>
        <sz val="11"/>
        <rFont val="Tahoma"/>
        <family val="2"/>
      </rPr>
      <t>en</t>
    </r>
    <r>
      <rPr>
        <b/>
        <sz val="11"/>
        <rFont val="Tahoma"/>
        <family val="2"/>
      </rPr>
      <t xml:space="preserve">   Energy Cost</t>
    </r>
  </si>
  <si>
    <r>
      <t>C</t>
    </r>
    <r>
      <rPr>
        <b/>
        <vertAlign val="subscript"/>
        <sz val="11"/>
        <rFont val="Tahoma"/>
        <family val="2"/>
      </rPr>
      <t>m</t>
    </r>
    <r>
      <rPr>
        <b/>
        <sz val="11"/>
        <rFont val="Tahoma"/>
        <family val="2"/>
      </rPr>
      <t xml:space="preserve">   Miscellaneous Energy Costs</t>
    </r>
  </si>
  <si>
    <r>
      <t>C</t>
    </r>
    <r>
      <rPr>
        <b/>
        <vertAlign val="subscript"/>
        <sz val="11"/>
        <rFont val="Tahoma"/>
        <family val="2"/>
      </rPr>
      <t>ic</t>
    </r>
    <r>
      <rPr>
        <b/>
        <sz val="11"/>
        <rFont val="Tahoma"/>
        <family val="2"/>
      </rPr>
      <t xml:space="preserve">    Initial Purchase Cost (Investment)</t>
    </r>
  </si>
  <si>
    <r>
      <t>C</t>
    </r>
    <r>
      <rPr>
        <b/>
        <vertAlign val="subscript"/>
        <sz val="11"/>
        <rFont val="Tahoma"/>
        <family val="2"/>
      </rPr>
      <t>in</t>
    </r>
    <r>
      <rPr>
        <b/>
        <sz val="11"/>
        <rFont val="Tahoma"/>
        <family val="2"/>
      </rPr>
      <t xml:space="preserve">     Installation Cost</t>
    </r>
  </si>
  <si>
    <r>
      <t>C</t>
    </r>
    <r>
      <rPr>
        <b/>
        <vertAlign val="subscript"/>
        <sz val="11"/>
        <rFont val="Tahoma"/>
        <family val="2"/>
      </rPr>
      <t>d</t>
    </r>
    <r>
      <rPr>
        <b/>
        <sz val="11"/>
        <rFont val="Tahoma"/>
        <family val="2"/>
      </rPr>
      <t xml:space="preserve">     Decommissioning and Disposal Cost</t>
    </r>
  </si>
  <si>
    <r>
      <t>(C</t>
    </r>
    <r>
      <rPr>
        <b/>
        <vertAlign val="subscript"/>
        <sz val="11"/>
        <rFont val="Tahoma"/>
        <family val="2"/>
      </rPr>
      <t>ic</t>
    </r>
    <r>
      <rPr>
        <b/>
        <sz val="11"/>
        <rFont val="Tahoma"/>
        <family val="2"/>
      </rPr>
      <t xml:space="preserve"> + C</t>
    </r>
    <r>
      <rPr>
        <b/>
        <vertAlign val="subscript"/>
        <sz val="11"/>
        <rFont val="Tahoma"/>
        <family val="2"/>
      </rPr>
      <t>in</t>
    </r>
    <r>
      <rPr>
        <b/>
        <sz val="11"/>
        <rFont val="Tahoma"/>
        <family val="2"/>
      </rPr>
      <t xml:space="preserve">) = </t>
    </r>
  </si>
  <si>
    <t>Total Estimated Life-Cycle Cost</t>
  </si>
  <si>
    <t>4) Power Consumption Calculations</t>
  </si>
  <si>
    <t>Diluent Removal</t>
  </si>
  <si>
    <t>Miscellaneous</t>
  </si>
  <si>
    <t>Total Power Consumption</t>
  </si>
  <si>
    <r>
      <t>PV (C</t>
    </r>
    <r>
      <rPr>
        <b/>
        <vertAlign val="subscript"/>
        <sz val="11"/>
        <rFont val="Tahoma"/>
        <family val="2"/>
      </rPr>
      <t>d</t>
    </r>
    <r>
      <rPr>
        <b/>
        <sz val="11"/>
        <rFont val="Tahoma"/>
        <family val="2"/>
      </rPr>
      <t>) =</t>
    </r>
  </si>
  <si>
    <r>
      <t>PV (C</t>
    </r>
    <r>
      <rPr>
        <b/>
        <vertAlign val="subscript"/>
        <sz val="11"/>
        <rFont val="Tahoma"/>
        <family val="2"/>
      </rPr>
      <t>o</t>
    </r>
    <r>
      <rPr>
        <b/>
        <sz val="11"/>
        <rFont val="Tahoma"/>
        <family val="2"/>
      </rPr>
      <t xml:space="preserve"> + C</t>
    </r>
    <r>
      <rPr>
        <b/>
        <vertAlign val="subscript"/>
        <sz val="11"/>
        <rFont val="Tahoma"/>
        <family val="2"/>
      </rPr>
      <t>em</t>
    </r>
    <r>
      <rPr>
        <b/>
        <sz val="11"/>
        <rFont val="Tahoma"/>
        <family val="2"/>
      </rPr>
      <t xml:space="preserve"> + C</t>
    </r>
    <r>
      <rPr>
        <b/>
        <vertAlign val="subscript"/>
        <sz val="11"/>
        <rFont val="Tahoma"/>
        <family val="2"/>
      </rPr>
      <t>sm</t>
    </r>
    <r>
      <rPr>
        <b/>
        <sz val="11"/>
        <rFont val="Tahoma"/>
        <family val="2"/>
      </rPr>
      <t xml:space="preserve"> + C</t>
    </r>
    <r>
      <rPr>
        <b/>
        <vertAlign val="subscript"/>
        <sz val="11"/>
        <rFont val="Tahoma"/>
        <family val="2"/>
      </rPr>
      <t>ssm</t>
    </r>
    <r>
      <rPr>
        <b/>
        <sz val="11"/>
        <rFont val="Tahoma"/>
        <family val="2"/>
      </rPr>
      <t xml:space="preserve"> + C</t>
    </r>
    <r>
      <rPr>
        <b/>
        <vertAlign val="subscript"/>
        <sz val="11"/>
        <rFont val="Tahoma"/>
        <family val="2"/>
      </rPr>
      <t>lp</t>
    </r>
    <r>
      <rPr>
        <b/>
        <sz val="11"/>
        <rFont val="Tahoma"/>
        <family val="2"/>
      </rPr>
      <t xml:space="preserve"> + C</t>
    </r>
    <r>
      <rPr>
        <b/>
        <vertAlign val="subscript"/>
        <sz val="11"/>
        <rFont val="Tahoma"/>
        <family val="2"/>
      </rPr>
      <t>env</t>
    </r>
    <r>
      <rPr>
        <b/>
        <sz val="11"/>
        <rFont val="Tahoma"/>
        <family val="2"/>
      </rPr>
      <t xml:space="preserve"> + C</t>
    </r>
    <r>
      <rPr>
        <b/>
        <vertAlign val="subscript"/>
        <sz val="11"/>
        <rFont val="Tahoma"/>
        <family val="2"/>
      </rPr>
      <t>en</t>
    </r>
    <r>
      <rPr>
        <b/>
        <sz val="11"/>
        <rFont val="Tahoma"/>
        <family val="2"/>
      </rPr>
      <t xml:space="preserve"> + C</t>
    </r>
    <r>
      <rPr>
        <b/>
        <vertAlign val="subscript"/>
        <sz val="11"/>
        <rFont val="Tahoma"/>
        <family val="2"/>
      </rPr>
      <t>m</t>
    </r>
    <r>
      <rPr>
        <b/>
        <sz val="11"/>
        <rFont val="Tahoma"/>
        <family val="2"/>
      </rPr>
      <t>)</t>
    </r>
  </si>
  <si>
    <t>5) Carbon Footprint</t>
  </si>
  <si>
    <r>
      <t>CO</t>
    </r>
    <r>
      <rPr>
        <vertAlign val="subscript"/>
        <sz val="11"/>
        <rFont val="Tahoma"/>
        <family val="2"/>
      </rPr>
      <t>2</t>
    </r>
    <r>
      <rPr>
        <sz val="11"/>
        <rFont val="Tahoma"/>
        <family val="2"/>
      </rPr>
      <t xml:space="preserve"> Equivalent Emissions</t>
    </r>
  </si>
  <si>
    <t>Assumptions/Formulae Driving the FSA/ESA Life-Cycle Cost Estimator</t>
  </si>
  <si>
    <t>Mechanical Seals</t>
  </si>
  <si>
    <t>Face Materials</t>
  </si>
  <si>
    <t>Carbon versus Silicon Carbide</t>
  </si>
  <si>
    <t>Balance Ratio</t>
  </si>
  <si>
    <t>b</t>
  </si>
  <si>
    <t xml:space="preserve">Pressure Gradient </t>
  </si>
  <si>
    <t>Spring Pressure</t>
  </si>
  <si>
    <t>Coefficient of Friction</t>
  </si>
  <si>
    <t>μ</t>
  </si>
  <si>
    <t xml:space="preserve">Face Width </t>
  </si>
  <si>
    <t>Heat Exchanger ΔT (Plan 23)</t>
  </si>
  <si>
    <t>Percentage of Absolute Pump Temperature WRT Heat Capacity of Flush</t>
  </si>
  <si>
    <t>UA</t>
  </si>
  <si>
    <t xml:space="preserve">Diameter (Mean) </t>
  </si>
  <si>
    <t>D= Shaft/Sleeve OD</t>
  </si>
  <si>
    <t>Area Opening</t>
  </si>
  <si>
    <t xml:space="preserve">Dry Gas Seals </t>
  </si>
  <si>
    <t>Dry Gas Seal power consumption is approximately 10% of a comparable dual wet seal</t>
  </si>
  <si>
    <t xml:space="preserve">Leakage  </t>
  </si>
  <si>
    <t>Differential Pressure</t>
  </si>
  <si>
    <t>ΔP = Differential Pressure across Seal Faces</t>
  </si>
  <si>
    <t xml:space="preserve">Pressure-Velocity Rating </t>
  </si>
  <si>
    <t>Power Consumption</t>
  </si>
  <si>
    <t>Single Seal</t>
  </si>
  <si>
    <t>Dual w/ Unpressurized Buffer Liquid</t>
  </si>
  <si>
    <t>Dual w/ Pressurized Barrier Liquid</t>
  </si>
  <si>
    <t>Dual w/ Pressurized Barrier Gas</t>
  </si>
  <si>
    <t>Compression Packing</t>
  </si>
  <si>
    <t>Packing Leakage Rate</t>
  </si>
  <si>
    <t>Sealless Pump</t>
  </si>
  <si>
    <t xml:space="preserve">Flowrate </t>
  </si>
  <si>
    <t>Q</t>
  </si>
  <si>
    <t xml:space="preserve">Differential Pressure of Pump          </t>
  </si>
  <si>
    <t>Efficiency</t>
  </si>
  <si>
    <t>BHP  Horsepower required</t>
  </si>
  <si>
    <t>ideal</t>
  </si>
  <si>
    <t>sealless</t>
  </si>
  <si>
    <t>conventional</t>
  </si>
  <si>
    <t>Net (Sealless-Conventional)</t>
  </si>
  <si>
    <t>Grey Boxes Cannot be Modified</t>
  </si>
  <si>
    <r>
      <t>P</t>
    </r>
    <r>
      <rPr>
        <vertAlign val="subscript"/>
        <sz val="11"/>
        <rFont val="Tahoma"/>
        <family val="2"/>
      </rPr>
      <t>grad</t>
    </r>
  </si>
  <si>
    <r>
      <t>P</t>
    </r>
    <r>
      <rPr>
        <vertAlign val="subscript"/>
        <sz val="11"/>
        <rFont val="Tahoma"/>
        <family val="2"/>
      </rPr>
      <t>sp</t>
    </r>
  </si>
  <si>
    <t>Bar</t>
  </si>
  <si>
    <t>psi</t>
  </si>
  <si>
    <t>Defaults</t>
  </si>
  <si>
    <t>BTU/(hr·inch·°R)</t>
  </si>
  <si>
    <t>UA Value (Heat Exchanger)</t>
  </si>
  <si>
    <t>Velocity @ Diameter (Mean)</t>
  </si>
  <si>
    <t>ΔP = Seal Chamber Pressure</t>
  </si>
  <si>
    <r>
      <t>ΔP</t>
    </r>
    <r>
      <rPr>
        <vertAlign val="subscript"/>
        <sz val="11"/>
        <rFont val="Tahoma"/>
        <family val="2"/>
      </rPr>
      <t>2</t>
    </r>
    <r>
      <rPr>
        <sz val="11"/>
        <rFont val="Tahoma"/>
        <family val="2"/>
      </rPr>
      <t xml:space="preserve"> = Barrier Pressure</t>
    </r>
  </si>
  <si>
    <r>
      <t>ΔP</t>
    </r>
    <r>
      <rPr>
        <vertAlign val="subscript"/>
        <sz val="11"/>
        <rFont val="Tahoma"/>
        <family val="2"/>
      </rPr>
      <t>1</t>
    </r>
    <r>
      <rPr>
        <sz val="11"/>
        <rFont val="Tahoma"/>
        <family val="2"/>
      </rPr>
      <t xml:space="preserve"> = Barrier Pressure - Seal Chamber Pressure</t>
    </r>
  </si>
  <si>
    <t>(* Note: Outboard pressure differential is zero, therefore reduces to spring force)</t>
  </si>
  <si>
    <r>
      <t>W</t>
    </r>
    <r>
      <rPr>
        <vertAlign val="subscript"/>
        <sz val="11"/>
        <rFont val="Tahoma"/>
        <family val="2"/>
      </rPr>
      <t>f</t>
    </r>
  </si>
  <si>
    <t>= 0.10·(Dual w/ Pressurized Barrier Liquid)</t>
  </si>
  <si>
    <t>Packing Sleeve Diameter</t>
  </si>
  <si>
    <t>D</t>
  </si>
  <si>
    <t>L</t>
  </si>
  <si>
    <t>P</t>
  </si>
  <si>
    <t>ml/hr/mm</t>
  </si>
  <si>
    <t>= 16,000 PPM or 16 drops/minute for a 2" / 50 mm shaft</t>
  </si>
  <si>
    <t>in³/hr/inch</t>
  </si>
  <si>
    <t>Mechanical Seal Power Consumption</t>
  </si>
  <si>
    <t>General Formula</t>
  </si>
  <si>
    <r>
      <t>BHP</t>
    </r>
    <r>
      <rPr>
        <vertAlign val="subscript"/>
        <sz val="11"/>
        <rFont val="Arial"/>
        <family val="2"/>
      </rPr>
      <t>ideal</t>
    </r>
    <r>
      <rPr>
        <sz val="11"/>
        <rFont val="Arial"/>
        <family val="2"/>
      </rPr>
      <t>= Q (</t>
    </r>
    <r>
      <rPr>
        <sz val="11"/>
        <rFont val="Symbol"/>
        <family val="1"/>
        <charset val="2"/>
      </rPr>
      <t>D</t>
    </r>
    <r>
      <rPr>
        <sz val="11"/>
        <rFont val="Arial"/>
        <family val="2"/>
      </rPr>
      <t>P/ X</t>
    </r>
    <r>
      <rPr>
        <sz val="11"/>
        <rFont val="Arial"/>
        <family val="2"/>
      </rPr>
      <t>)</t>
    </r>
  </si>
  <si>
    <r>
      <t>BHP</t>
    </r>
    <r>
      <rPr>
        <vertAlign val="subscript"/>
        <sz val="11"/>
        <rFont val="Arial"/>
        <family val="2"/>
      </rPr>
      <t xml:space="preserve">seallesspump </t>
    </r>
    <r>
      <rPr>
        <sz val="11"/>
        <rFont val="Arial"/>
        <family val="2"/>
      </rPr>
      <t>= Q (</t>
    </r>
    <r>
      <rPr>
        <sz val="11"/>
        <rFont val="Symbol"/>
        <family val="1"/>
        <charset val="2"/>
      </rPr>
      <t>D</t>
    </r>
    <r>
      <rPr>
        <sz val="11"/>
        <rFont val="Arial"/>
        <family val="2"/>
      </rPr>
      <t>P/ x</t>
    </r>
    <r>
      <rPr>
        <sz val="11"/>
        <rFont val="Arial"/>
        <family val="2"/>
      </rPr>
      <t>) * (1/</t>
    </r>
    <r>
      <rPr>
        <sz val="11"/>
        <rFont val="Symbol"/>
        <family val="1"/>
        <charset val="2"/>
      </rPr>
      <t>e</t>
    </r>
    <r>
      <rPr>
        <vertAlign val="subscript"/>
        <sz val="11"/>
        <rFont val="Arial"/>
        <family val="2"/>
      </rPr>
      <t>seallesspump</t>
    </r>
    <r>
      <rPr>
        <sz val="11"/>
        <rFont val="Arial"/>
        <family val="2"/>
      </rPr>
      <t>)</t>
    </r>
  </si>
  <si>
    <r>
      <t>BHP</t>
    </r>
    <r>
      <rPr>
        <vertAlign val="subscript"/>
        <sz val="11"/>
        <rFont val="Arial"/>
        <family val="2"/>
      </rPr>
      <t xml:space="preserve">ConventionalPump </t>
    </r>
    <r>
      <rPr>
        <sz val="11"/>
        <rFont val="Arial"/>
        <family val="2"/>
      </rPr>
      <t>= Q (</t>
    </r>
    <r>
      <rPr>
        <sz val="11"/>
        <rFont val="Symbol"/>
        <family val="1"/>
        <charset val="2"/>
      </rPr>
      <t>D</t>
    </r>
    <r>
      <rPr>
        <sz val="11"/>
        <rFont val="Arial"/>
        <family val="2"/>
      </rPr>
      <t>P/ X</t>
    </r>
    <r>
      <rPr>
        <sz val="11"/>
        <rFont val="Arial"/>
        <family val="2"/>
      </rPr>
      <t>) * (1/</t>
    </r>
    <r>
      <rPr>
        <sz val="11"/>
        <rFont val="Symbol"/>
        <family val="1"/>
        <charset val="2"/>
      </rPr>
      <t>e</t>
    </r>
    <r>
      <rPr>
        <vertAlign val="subscript"/>
        <sz val="11"/>
        <rFont val="Arial"/>
        <family val="2"/>
      </rPr>
      <t>ConventialPump</t>
    </r>
    <r>
      <rPr>
        <sz val="11"/>
        <rFont val="Arial"/>
        <family val="2"/>
      </rPr>
      <t>)</t>
    </r>
  </si>
  <si>
    <r>
      <t>BHP</t>
    </r>
    <r>
      <rPr>
        <vertAlign val="subscript"/>
        <sz val="11"/>
        <rFont val="Arial"/>
        <family val="2"/>
      </rPr>
      <t xml:space="preserve">ConventionalPump </t>
    </r>
    <r>
      <rPr>
        <sz val="11"/>
        <rFont val="Arial"/>
        <family val="2"/>
      </rPr>
      <t>= [Q (</t>
    </r>
    <r>
      <rPr>
        <sz val="11"/>
        <rFont val="Symbol"/>
        <family val="1"/>
        <charset val="2"/>
      </rPr>
      <t>D</t>
    </r>
    <r>
      <rPr>
        <sz val="11"/>
        <rFont val="Arial"/>
        <family val="2"/>
      </rPr>
      <t>P/ X)] · [ (1/</t>
    </r>
    <r>
      <rPr>
        <sz val="11"/>
        <rFont val="Symbol"/>
        <family val="1"/>
        <charset val="2"/>
      </rPr>
      <t>e</t>
    </r>
    <r>
      <rPr>
        <vertAlign val="subscript"/>
        <sz val="11"/>
        <rFont val="Arial"/>
        <family val="2"/>
      </rPr>
      <t>ConventialPump</t>
    </r>
    <r>
      <rPr>
        <sz val="11"/>
        <rFont val="Arial"/>
        <family val="2"/>
      </rPr>
      <t>) - (1/</t>
    </r>
    <r>
      <rPr>
        <sz val="11"/>
        <rFont val="Symbol"/>
        <family val="1"/>
        <charset val="2"/>
      </rPr>
      <t>e</t>
    </r>
    <r>
      <rPr>
        <vertAlign val="subscript"/>
        <sz val="11"/>
        <rFont val="Arial"/>
        <family val="2"/>
      </rPr>
      <t>seallesspump</t>
    </r>
    <r>
      <rPr>
        <sz val="11"/>
        <rFont val="Arial"/>
        <family val="2"/>
      </rPr>
      <t>)]</t>
    </r>
  </si>
  <si>
    <t>DP</t>
  </si>
  <si>
    <t>e</t>
  </si>
  <si>
    <t>X</t>
  </si>
  <si>
    <t>Unit Conversion Factor</t>
  </si>
  <si>
    <t>Hidden rows</t>
  </si>
  <si>
    <t>Flush Fluid Selector</t>
  </si>
  <si>
    <t>Specific Heat</t>
  </si>
  <si>
    <t>Density</t>
  </si>
  <si>
    <t>Latent Heat of Vap.</t>
  </si>
  <si>
    <t>Boiling Point</t>
  </si>
  <si>
    <t>Fluid</t>
  </si>
  <si>
    <t>SG</t>
  </si>
  <si>
    <t>Lb/Gal</t>
  </si>
  <si>
    <t>Btu/Lb</t>
  </si>
  <si>
    <t>kJ/kg</t>
  </si>
  <si>
    <t>50% Glycol/Water</t>
  </si>
  <si>
    <t>Kerosene</t>
  </si>
  <si>
    <t>Mineral Oil</t>
  </si>
  <si>
    <t>Dowtherm A</t>
  </si>
  <si>
    <t>Custom</t>
  </si>
  <si>
    <t>Lt. Hyd. Oil</t>
  </si>
  <si>
    <t>ISO Grade 32 Oil</t>
  </si>
  <si>
    <t>Crude Oil</t>
  </si>
  <si>
    <t>Currency Converter</t>
  </si>
  <si>
    <t>US Dollars →</t>
  </si>
  <si>
    <t>Euro</t>
  </si>
  <si>
    <t>$1.00 =</t>
  </si>
  <si>
    <t>Btu/Lb·°F</t>
  </si>
  <si>
    <t>kJ/kg·°K</t>
  </si>
  <si>
    <t>kg/Litre</t>
  </si>
  <si>
    <t>See Assumptions Tab for Formulas</t>
  </si>
  <si>
    <t>Pressure Gradient</t>
  </si>
  <si>
    <t>Shaft Diameter</t>
  </si>
  <si>
    <t>Mean Face Daimeter</t>
  </si>
  <si>
    <t>Face Width</t>
  </si>
  <si>
    <t>Shaft Speed</t>
  </si>
  <si>
    <r>
      <t>P</t>
    </r>
    <r>
      <rPr>
        <vertAlign val="subscript"/>
        <sz val="10"/>
        <rFont val="Arial"/>
        <family val="2"/>
      </rPr>
      <t>grad</t>
    </r>
  </si>
  <si>
    <r>
      <t>P</t>
    </r>
    <r>
      <rPr>
        <vertAlign val="subscript"/>
        <sz val="10"/>
        <rFont val="Arial"/>
        <family val="2"/>
      </rPr>
      <t>sp</t>
    </r>
  </si>
  <si>
    <r>
      <t>D</t>
    </r>
    <r>
      <rPr>
        <vertAlign val="subscript"/>
        <sz val="10"/>
        <rFont val="Arial"/>
        <family val="2"/>
      </rPr>
      <t>m</t>
    </r>
  </si>
  <si>
    <r>
      <t>W</t>
    </r>
    <r>
      <rPr>
        <vertAlign val="subscript"/>
        <sz val="10"/>
        <rFont val="Arial"/>
        <family val="2"/>
      </rPr>
      <t>f</t>
    </r>
  </si>
  <si>
    <t>Sleeve Diameter</t>
  </si>
  <si>
    <r>
      <t>μ</t>
    </r>
    <r>
      <rPr>
        <vertAlign val="subscript"/>
        <sz val="10"/>
        <rFont val="Arial"/>
        <family val="2"/>
      </rPr>
      <t>packing</t>
    </r>
  </si>
  <si>
    <r>
      <t>ΔP</t>
    </r>
    <r>
      <rPr>
        <vertAlign val="subscript"/>
        <sz val="10"/>
        <rFont val="Arial"/>
        <family val="2"/>
      </rPr>
      <t>1</t>
    </r>
  </si>
  <si>
    <r>
      <t>ΔP</t>
    </r>
    <r>
      <rPr>
        <vertAlign val="subscript"/>
        <sz val="10"/>
        <rFont val="Arial"/>
        <family val="2"/>
      </rPr>
      <t>2</t>
    </r>
  </si>
  <si>
    <t>HP</t>
  </si>
  <si>
    <t>Power Conversion Factor</t>
  </si>
  <si>
    <t>Seal Arrangement</t>
  </si>
  <si>
    <t>Selected Senario</t>
  </si>
  <si>
    <t>Power Calculaitons (Per Seal Chamber)</t>
  </si>
  <si>
    <t>No. of Seal Chambers</t>
  </si>
  <si>
    <t>Equipment and Utility Data</t>
  </si>
  <si>
    <t>Total Power per Pump</t>
  </si>
  <si>
    <t>Power per Seal Chamber</t>
  </si>
  <si>
    <t>Output Data Summary</t>
  </si>
  <si>
    <t>$ / year</t>
  </si>
  <si>
    <t>€  / year</t>
  </si>
  <si>
    <t>Required for Plans 52, 53+ or 54, used for effulent calculation of other seals</t>
  </si>
  <si>
    <t>Was applicable to plans 53+, 54, 72, 74.  Changed to remove plans 53+ and 54</t>
  </si>
  <si>
    <t>7) Enter the Sealless Pump Scenario Data</t>
  </si>
  <si>
    <t>Product Flow Rate</t>
  </si>
  <si>
    <t>Shaft Size</t>
  </si>
  <si>
    <t>Differential Pressure (Discharge Minus Suction)</t>
  </si>
  <si>
    <t>Efficiency of Equivalent Conventionally Sealed Pump</t>
  </si>
  <si>
    <t>Efficiency of proposed Sealless Pump</t>
  </si>
  <si>
    <t>Sealless Pump Initial Cost</t>
  </si>
  <si>
    <t>Anticipated Sealless Pump MTBR</t>
  </si>
  <si>
    <t>Manhours To Remove/Replace Sealless Pump</t>
  </si>
  <si>
    <t>Sealless Pump Repair Cost Per Failure</t>
  </si>
  <si>
    <t>Sealless Pump Disposal Costs</t>
  </si>
  <si>
    <t>Units of measure was psig/barg, now psi/bar</t>
  </si>
  <si>
    <t>bar</t>
  </si>
  <si>
    <t>Required for Sealless Pump only</t>
  </si>
  <si>
    <t>Scenario1</t>
  </si>
  <si>
    <t>Scenario2</t>
  </si>
  <si>
    <t>Direct Power</t>
  </si>
  <si>
    <t xml:space="preserve">   Packing Flush Fluid - Specific Heat</t>
  </si>
  <si>
    <t xml:space="preserve">   Packing Flush Fluid - Density</t>
  </si>
  <si>
    <t xml:space="preserve">   Packing Flush Fluid - Latent Heat of Vap.</t>
  </si>
  <si>
    <t xml:space="preserve">   Packing Flush Fluid - Boiling Point</t>
  </si>
  <si>
    <t xml:space="preserve">   Packing Flush Fluid - Specific Gravity</t>
  </si>
  <si>
    <t xml:space="preserve">   Seal Flush Fluid - Specific Heat</t>
  </si>
  <si>
    <t xml:space="preserve">   Seal Flush Fluid - Specific Gravity</t>
  </si>
  <si>
    <t xml:space="preserve">   Seal Flush Fluid - Density</t>
  </si>
  <si>
    <t xml:space="preserve">   Seal Flush Fluid - Latent Heat of Vap.</t>
  </si>
  <si>
    <t xml:space="preserve">   Seal Flush Fluid - Boiling Point</t>
  </si>
  <si>
    <t>kW/m·°K</t>
  </si>
  <si>
    <t>Required for plan 23 only</t>
  </si>
  <si>
    <t xml:space="preserve">   Heat Exchanger outlet temperature (Plan 23 only)</t>
  </si>
  <si>
    <t>Includes face heat generation.  Does double up this power??</t>
  </si>
  <si>
    <t xml:space="preserve">   Plan 21 and 32</t>
  </si>
  <si>
    <t xml:space="preserve">   Plan 23</t>
  </si>
  <si>
    <t xml:space="preserve">   Plan 52, 53+, 54</t>
  </si>
  <si>
    <t xml:space="preserve">   Packing</t>
  </si>
  <si>
    <t xml:space="preserve">   Plan 21</t>
  </si>
  <si>
    <t xml:space="preserve">   Plan 32</t>
  </si>
  <si>
    <t>Same as Heat Soak Calc</t>
  </si>
  <si>
    <t>Zero</t>
  </si>
  <si>
    <t>Heat soak calc (from below) minus Direct Power</t>
  </si>
  <si>
    <t>lb/kWh</t>
  </si>
  <si>
    <t>kg/kWh</t>
  </si>
  <si>
    <t>Source: www.epa.gov/egrid/</t>
  </si>
  <si>
    <t>eGRID2012 Version 1.0</t>
  </si>
  <si>
    <t>http://www.epa.gov/cleanenergy/documents/egridzips/eGRID2012V1_0_year09_SummaryTables.pdf</t>
  </si>
  <si>
    <t>CO2 Emission Rate</t>
  </si>
  <si>
    <t>kg</t>
  </si>
  <si>
    <t>lb</t>
  </si>
  <si>
    <t>Flush Mass flow rate · Spec Heat · (Pump temp - Injection temp) · No. Seal Chambers</t>
  </si>
  <si>
    <t>Mass flow rate · Spec Heat · Heat Exchanger Differential temp · No. Seal Chambers</t>
  </si>
  <si>
    <t>Heat soak (UASΔT) · No. Seal Chambers plus Seal Face Heat Generation</t>
  </si>
  <si>
    <t>Flush Mass flow rate · Spec Heat ·  (Pump temp - Injection temp) · % into pump · No. Seal Chambers</t>
  </si>
  <si>
    <r>
      <t xml:space="preserve"> Carbon Dioxide Equivalent (CO</t>
    </r>
    <r>
      <rPr>
        <b/>
        <vertAlign val="subscript"/>
        <sz val="12"/>
        <color indexed="62"/>
        <rFont val="Tahoma"/>
        <family val="2"/>
      </rPr>
      <t>2</t>
    </r>
    <r>
      <rPr>
        <b/>
        <sz val="12"/>
        <color indexed="62"/>
        <rFont val="Tahoma"/>
        <family val="2"/>
      </rPr>
      <t>e) Emission Rate from Electrical Power Generation</t>
    </r>
  </si>
  <si>
    <t>USA Average for the year 2009 = 1222.29 lb/MWh</t>
  </si>
  <si>
    <t>2009 Minimum: eGRID SubRegion NPCC Upstate NY  = 500.35 lb/MWh</t>
  </si>
  <si>
    <t>2009 Maximum: eGRID SubRegion WECC Rockies  = 1833.41 lb/MWh</t>
  </si>
  <si>
    <t>metric tons per year</t>
  </si>
  <si>
    <t>Changed unit of measure to be per machine</t>
  </si>
  <si>
    <t>Changed unit of measure to be per seal</t>
  </si>
  <si>
    <t>Unit of measure was € ($), now  € / year ($ / year)</t>
  </si>
  <si>
    <t>How to use:</t>
  </si>
  <si>
    <t>(Remember, the DEFAULT values are typical. You may change any or all of them to suit your needs.)</t>
  </si>
  <si>
    <t>1)</t>
  </si>
  <si>
    <t>Select the INPUTS-OUTPUTS page from the tabs below.</t>
  </si>
  <si>
    <t>In SCENARIO TYPES select the type of sealing solution for Scenario 1.</t>
  </si>
  <si>
    <t>Complete all required fields for Scenario 1 in the INPUTS section.</t>
  </si>
  <si>
    <t>Work only in a top-down fashion, as overwriting defaults erases pre-existing relations.</t>
  </si>
  <si>
    <t>Repeat for Scenario 2.</t>
  </si>
  <si>
    <t>If desired, repeat for Scenario 3.</t>
  </si>
  <si>
    <t>Scroll down to the OUTPUTS section.</t>
  </si>
  <si>
    <t>The scenario with the lowest LCC is the optimum solution.</t>
  </si>
  <si>
    <t xml:space="preserve">Print any additional pages you need for back up or reference. </t>
  </si>
  <si>
    <t>2)</t>
  </si>
  <si>
    <t>3)</t>
  </si>
  <si>
    <t>4)</t>
  </si>
  <si>
    <t>5)</t>
  </si>
  <si>
    <t>6)</t>
  </si>
  <si>
    <t>7)</t>
  </si>
  <si>
    <t>8)</t>
  </si>
  <si>
    <t>9)</t>
  </si>
  <si>
    <t>Saving the spreadsheet:</t>
  </si>
  <si>
    <t>You can save the spreadsheet with a different file name to use "locally" for additional analyses. However, please return to this site regularly to take advantage of refinements and improvements we make to the Life Cycle Cost Estimator over time.</t>
  </si>
  <si>
    <t>The packing cost calculations now more accurately reflect the MTBR of the packing rings versus the packing rings together with packing sleeve replacement.</t>
  </si>
  <si>
    <t>Helpful Notes:</t>
  </si>
  <si>
    <t>This tool allows you to estimate Life-Cycle Costs for sealing solutions on a comparative basis to assist in decision-making when specifying capital projects or upgrading existing rotating equipment technology.</t>
  </si>
  <si>
    <t>You can compare up to 3 Scenarios using a variety of arrangements including single seals, dual seals, single seals with dry-running secondary containment, non-contacting gas seals, and compression packing.</t>
  </si>
  <si>
    <t>Most of the fields have been pre-loaded with default values, but you may over-write any of these at any time without adverse effect on the calculations.</t>
  </si>
  <si>
    <t>LCC will of course be influenced by the reliability of the selected sealing solution. You are encouraged to think carefully about the individual MTBR values that are most appropriate for each scenario, and if necessary contact your seal, packing, or pump supplier for guidance.</t>
  </si>
  <si>
    <t>Energy can be a large component of LCC.  In the case of Mechanical Seals and Packing the frictional energy calculated is that of the seal or packing only, not the equipment in which it is installed.   The energy calculated to remove flush-to-process dilution and restore process temperature uses evaporation assumptions for your selected flush fluid.</t>
  </si>
  <si>
    <t>Life-Cycle Cost results are discounted to Present Value (PV) and include the following elements:</t>
  </si>
  <si>
    <r>
      <t>C</t>
    </r>
    <r>
      <rPr>
        <b/>
        <vertAlign val="subscript"/>
        <sz val="11"/>
        <rFont val="Tahoma"/>
        <family val="2"/>
      </rPr>
      <t>lp</t>
    </r>
    <r>
      <rPr>
        <b/>
        <sz val="11"/>
        <rFont val="Tahoma"/>
        <family val="2"/>
      </rPr>
      <t xml:space="preserve">    Downtime and Loss of Production Cost</t>
    </r>
  </si>
  <si>
    <r>
      <t>C</t>
    </r>
    <r>
      <rPr>
        <b/>
        <vertAlign val="subscript"/>
        <sz val="11"/>
        <rFont val="Tahoma"/>
        <family val="2"/>
      </rPr>
      <t>e</t>
    </r>
    <r>
      <rPr>
        <b/>
        <sz val="11"/>
        <rFont val="Tahoma"/>
        <family val="2"/>
      </rPr>
      <t xml:space="preserve">     Energy Cost</t>
    </r>
  </si>
  <si>
    <r>
      <t>C</t>
    </r>
    <r>
      <rPr>
        <b/>
        <vertAlign val="subscript"/>
        <sz val="11"/>
        <rFont val="Tahoma"/>
        <family val="2"/>
      </rPr>
      <t>ic</t>
    </r>
    <r>
      <rPr>
        <b/>
        <sz val="11"/>
        <rFont val="Tahoma"/>
        <family val="2"/>
      </rPr>
      <t xml:space="preserve">    Initial Purchase Cost</t>
    </r>
  </si>
  <si>
    <r>
      <t>C</t>
    </r>
    <r>
      <rPr>
        <b/>
        <vertAlign val="subscript"/>
        <sz val="11"/>
        <rFont val="Tahoma"/>
        <family val="2"/>
      </rPr>
      <t xml:space="preserve">in       </t>
    </r>
    <r>
      <rPr>
        <b/>
        <sz val="11"/>
        <rFont val="Tahoma"/>
        <family val="2"/>
      </rPr>
      <t>Installation Cost</t>
    </r>
  </si>
  <si>
    <t>(See the COST DEFINITIONS page for a printable version of these elements.)</t>
  </si>
  <si>
    <t>Cost Definitions</t>
  </si>
  <si>
    <r>
      <t>C</t>
    </r>
    <r>
      <rPr>
        <b/>
        <vertAlign val="subscript"/>
        <sz val="11"/>
        <color indexed="62"/>
        <rFont val="Tahoma"/>
        <family val="2"/>
      </rPr>
      <t>o</t>
    </r>
    <r>
      <rPr>
        <b/>
        <sz val="11"/>
        <color indexed="62"/>
        <rFont val="Tahoma"/>
        <family val="2"/>
      </rPr>
      <t xml:space="preserve">     Operating Cost</t>
    </r>
  </si>
  <si>
    <t xml:space="preserve">These are the costs associated with the consumption of utilities needed to support the sealing scenario such as cooling water, flush and quench fluids, buffer and barrier fluids, barrier gas, and/or effluent treatment.
</t>
  </si>
  <si>
    <r>
      <t>C</t>
    </r>
    <r>
      <rPr>
        <b/>
        <vertAlign val="subscript"/>
        <sz val="11"/>
        <color indexed="62"/>
        <rFont val="Tahoma"/>
        <family val="2"/>
      </rPr>
      <t>em</t>
    </r>
    <r>
      <rPr>
        <b/>
        <sz val="11"/>
        <color indexed="62"/>
        <rFont val="Tahoma"/>
        <family val="2"/>
      </rPr>
      <t xml:space="preserve">   Equipment Maintenance and Repair Cost</t>
    </r>
  </si>
  <si>
    <t>These are the collateral costs associated with the need to perform repairs and replace parts on the equipment due to the failure of the sealing solution.</t>
  </si>
  <si>
    <t>These are the costs associated with the reconditioning of the mechanical seal or sealless pump, or the replacement of the packing, lantern ring, and sleeve.</t>
  </si>
  <si>
    <r>
      <t>C</t>
    </r>
    <r>
      <rPr>
        <b/>
        <vertAlign val="subscript"/>
        <sz val="11"/>
        <color indexed="62"/>
        <rFont val="Tahoma"/>
        <family val="2"/>
      </rPr>
      <t>sm</t>
    </r>
    <r>
      <rPr>
        <b/>
        <sz val="11"/>
        <color indexed="62"/>
        <rFont val="Tahoma"/>
        <family val="2"/>
      </rPr>
      <t xml:space="preserve">   Seal Maintenance and Repair Cost</t>
    </r>
  </si>
  <si>
    <r>
      <t>C</t>
    </r>
    <r>
      <rPr>
        <b/>
        <vertAlign val="subscript"/>
        <sz val="11"/>
        <color indexed="62"/>
        <rFont val="Tahoma"/>
        <family val="2"/>
      </rPr>
      <t>lp</t>
    </r>
    <r>
      <rPr>
        <b/>
        <sz val="11"/>
        <color indexed="62"/>
        <rFont val="Tahoma"/>
        <family val="2"/>
      </rPr>
      <t xml:space="preserve">    Downtime and Loss of Production Cost</t>
    </r>
  </si>
  <si>
    <t>This is the cost of lost production resulting from the unexpected failure of the sealing solution affecting the operation of an entire production unit. It is seldom a precisely calculated value, but rather a rule-of-thumb estimate of the "opportunity cost" of downtime.</t>
  </si>
  <si>
    <r>
      <t>C</t>
    </r>
    <r>
      <rPr>
        <b/>
        <vertAlign val="subscript"/>
        <sz val="11"/>
        <color indexed="62"/>
        <rFont val="Tahoma"/>
        <family val="2"/>
      </rPr>
      <t>env</t>
    </r>
    <r>
      <rPr>
        <b/>
        <sz val="11"/>
        <color indexed="62"/>
        <rFont val="Tahoma"/>
        <family val="2"/>
      </rPr>
      <t xml:space="preserve">  Environmental Cost</t>
    </r>
  </si>
  <si>
    <r>
      <t>C</t>
    </r>
    <r>
      <rPr>
        <b/>
        <vertAlign val="subscript"/>
        <sz val="11"/>
        <color indexed="62"/>
        <rFont val="Tahoma"/>
        <family val="2"/>
      </rPr>
      <t>e</t>
    </r>
    <r>
      <rPr>
        <b/>
        <sz val="11"/>
        <color indexed="62"/>
        <rFont val="Tahoma"/>
        <family val="2"/>
      </rPr>
      <t xml:space="preserve">     Energy Cost</t>
    </r>
  </si>
  <si>
    <r>
      <t>C</t>
    </r>
    <r>
      <rPr>
        <b/>
        <vertAlign val="subscript"/>
        <sz val="11"/>
        <color indexed="62"/>
        <rFont val="Tahoma"/>
        <family val="2"/>
      </rPr>
      <t>ic</t>
    </r>
    <r>
      <rPr>
        <b/>
        <sz val="11"/>
        <color indexed="62"/>
        <rFont val="Tahoma"/>
        <family val="2"/>
      </rPr>
      <t xml:space="preserve">    Initial Purchase Cost</t>
    </r>
  </si>
  <si>
    <r>
      <t>C</t>
    </r>
    <r>
      <rPr>
        <b/>
        <vertAlign val="subscript"/>
        <sz val="11"/>
        <color indexed="62"/>
        <rFont val="Tahoma"/>
        <family val="2"/>
      </rPr>
      <t xml:space="preserve">in       </t>
    </r>
    <r>
      <rPr>
        <b/>
        <sz val="11"/>
        <color indexed="62"/>
        <rFont val="Tahoma"/>
        <family val="2"/>
      </rPr>
      <t>Installation Cost</t>
    </r>
  </si>
  <si>
    <r>
      <t>C</t>
    </r>
    <r>
      <rPr>
        <b/>
        <vertAlign val="subscript"/>
        <sz val="11"/>
        <color indexed="62"/>
        <rFont val="Tahoma"/>
        <family val="2"/>
      </rPr>
      <t>d</t>
    </r>
    <r>
      <rPr>
        <b/>
        <sz val="11"/>
        <color indexed="62"/>
        <rFont val="Tahoma"/>
        <family val="2"/>
      </rPr>
      <t xml:space="preserve">     Decommissioning and Disposal Cost</t>
    </r>
  </si>
  <si>
    <t>This is the frictional power consumed by the seal or packing.  It is also the pump heat soak, and energy consumed in additional downstream processing to remove flush-to-process dilution and/or restore process temperature. (see the EXTERNAL FLUSH page for additional detail)</t>
  </si>
  <si>
    <t>This is the initial cost to purchase the sealing solution, and may include engineering, bid process expenses, PO administration, testing, source inspection, and initial spares as appropriate, provided all scenarios are treated in a similar fashion.</t>
  </si>
  <si>
    <t>Although not usually considered, the disposal costs for  several mechanical seal assemblies, or many packing sets consumed over the lifetime of the equipment may be significant if the product handled is extremely hazardous.</t>
  </si>
  <si>
    <t>Flush Plan Costs</t>
  </si>
  <si>
    <t>Mechanical Seal Flush Considerations</t>
  </si>
  <si>
    <t>The initial system cost (Section 8 of INPUTS-OUTPUTS page) should include the cost of the controls as shown in the API versions of the Plan schematics below: a pressure indicator, check valve, gate valve, needle valve, heat exchanger, plus installation costs.  A temperature indicator and flow indicator are optional.</t>
  </si>
  <si>
    <t>Considerations for determining flush plan costs include:
    - flush may have to be heated (or cooled) downstream in the process unit
    - external flush may have to be removed from the pumpage downstream to restore process integrity
    - external flush may be less (or more) valuable than the pumpage</t>
  </si>
  <si>
    <t>External Flush - The External Flush is brought into the stuffing box at a pressure higher than process and a flowrate appropriate to the arrangement and application.</t>
  </si>
  <si>
    <t>Compression Packing Flush Considerations</t>
  </si>
  <si>
    <t>Hidden Columns</t>
  </si>
  <si>
    <t xml:space="preserve"> -</t>
  </si>
  <si>
    <t>Hidden Worksheet</t>
  </si>
  <si>
    <t>Energy Footprint (per Annum)</t>
  </si>
  <si>
    <r>
      <rPr>
        <b/>
        <u/>
        <sz val="11"/>
        <rFont val="Tahoma"/>
        <family val="2"/>
      </rPr>
      <t>Plan 21</t>
    </r>
    <r>
      <rPr>
        <b/>
        <sz val="11"/>
        <rFont val="Tahoma"/>
        <family val="2"/>
      </rPr>
      <t xml:space="preserve"> provides a cool flush to the seal faces by piping product from discharge through a heat exchanger.  A benefit of this plan is the pressure drop is sufficient to provide good flow rates without the use of a circulation device.  However, there are drawbacks as well.  The Plan 21 uses more energy than the Plan 23 because the process fluid used to flush must be cooled, pumped back to discharge, and reheated back to its original temperature downstream.  Also, cooler duty can be very high when the discharge to flush injection  ΔT is large, which can cause fouling in water-cooled heat exchangers.  This arrangement is typically recommended with a water-cooled heat exchanger.</t>
    </r>
  </si>
  <si>
    <r>
      <rPr>
        <b/>
        <u/>
        <sz val="11"/>
        <rFont val="Tahoma"/>
        <family val="2"/>
      </rPr>
      <t>Plan 23</t>
    </r>
    <r>
      <rPr>
        <b/>
        <sz val="11"/>
        <rFont val="Tahoma"/>
        <family val="2"/>
      </rPr>
      <t xml:space="preserve"> uses a throat bushing to isolate the seal chamber from the pumped process, and an internal circulation device to move the fluid through the heat exchanger and back to the seal chamber.  Preventing the cooled fluid from entering the process results in higher efficiency than the Plan 21.  Since the cooler duty is lower it will have a longer life, and can be smaller than its Plan 21 equivalent.</t>
    </r>
  </si>
  <si>
    <r>
      <rPr>
        <b/>
        <u/>
        <sz val="11"/>
        <rFont val="Tahoma"/>
        <family val="2"/>
      </rPr>
      <t>Plan 32</t>
    </r>
    <r>
      <rPr>
        <b/>
        <sz val="11"/>
        <rFont val="Tahoma"/>
        <family val="2"/>
      </rPr>
      <t xml:space="preserve"> uses a cool, clean flush piped into the seal chamber from and external reservoir.  The use of a throat bushing can help maintain elevated pressure in the seal chamber and isolate it from the process.  Considerations unique to Plan 32 include diluent removal and flush fluid cost.  The flush fluid must be selected for compatibility with the pumped fluid because it will enter the process.  Depending on application requirements, the process fluid integrity may need to be restored.  This is done by separating or boiling off the flush fluid, which requires a large amount of energy.  Flush fluid cost can be the initial purchase cost, or the costs associated with the reclamation of separated diluent.  For this reason, Plan 32 is not recommended for only cooling purposes.</t>
    </r>
  </si>
  <si>
    <t xml:space="preserve">· · · · · · · · · · · · · · · · · · · · · · · · · · · · · · · · · · · · · · · · · · · · · · · · · · · · · · </t>
  </si>
  <si>
    <t>Operating Costs (per Annum)</t>
  </si>
  <si>
    <t>Bushing Flow Calculator</t>
  </si>
  <si>
    <t>Shaft / Sleeve OD</t>
  </si>
  <si>
    <t>Bushing ID</t>
  </si>
  <si>
    <t>Bushing Length</t>
  </si>
  <si>
    <r>
      <t>Differential Pressure (P</t>
    </r>
    <r>
      <rPr>
        <b/>
        <vertAlign val="subscript"/>
        <sz val="11"/>
        <rFont val="Tahoma"/>
        <family val="2"/>
      </rPr>
      <t>1</t>
    </r>
    <r>
      <rPr>
        <b/>
        <sz val="11"/>
        <rFont val="Tahoma"/>
        <family val="2"/>
      </rPr>
      <t xml:space="preserve"> - P</t>
    </r>
    <r>
      <rPr>
        <b/>
        <vertAlign val="subscript"/>
        <sz val="11"/>
        <rFont val="Tahoma"/>
        <family val="2"/>
      </rPr>
      <t>2</t>
    </r>
    <r>
      <rPr>
        <b/>
        <sz val="11"/>
        <rFont val="Tahoma"/>
        <family val="2"/>
      </rPr>
      <t>)</t>
    </r>
  </si>
  <si>
    <t>Shaft Material Coefficient of Thermal Expansion</t>
  </si>
  <si>
    <t>Bushing Material Coefficient of Thermal Expansion</t>
  </si>
  <si>
    <t>cSt</t>
  </si>
  <si>
    <t>Radial Gap at Process Temperature</t>
  </si>
  <si>
    <t>Flowrate Under Bushing</t>
  </si>
  <si>
    <t>BUSHING MATERIAL</t>
  </si>
  <si>
    <t>316SS</t>
  </si>
  <si>
    <t>ALLOY 20</t>
  </si>
  <si>
    <t>BRONZE</t>
  </si>
  <si>
    <t>CARBON</t>
  </si>
  <si>
    <t>DUPLEX</t>
  </si>
  <si>
    <t>MONEL</t>
  </si>
  <si>
    <t>PTFE</t>
  </si>
  <si>
    <t>PTFE-Glass Filled</t>
  </si>
  <si>
    <t>SILICON CARBIDE</t>
  </si>
  <si>
    <t>TITANIUM</t>
  </si>
  <si>
    <t>SHAFT MATERIAL</t>
  </si>
  <si>
    <t>ALLOY B2</t>
  </si>
  <si>
    <t>ALLOY C-276</t>
  </si>
  <si>
    <t>in / in / °F</t>
  </si>
  <si>
    <t>mm / mm / °C</t>
  </si>
  <si>
    <t>Coefficient of Thermal Expansion</t>
  </si>
  <si>
    <t>Shaft Material</t>
  </si>
  <si>
    <t>Bushing Material</t>
  </si>
  <si>
    <t>Ambient Temperature</t>
  </si>
  <si>
    <t>Shaft OD at temperature</t>
  </si>
  <si>
    <t>Bushing ID at temperature</t>
  </si>
  <si>
    <t>Pumping Temperature</t>
  </si>
  <si>
    <t>Radial Gap at Temperature</t>
  </si>
  <si>
    <t>Gamma</t>
  </si>
  <si>
    <t>Phi</t>
  </si>
  <si>
    <t>Flow Laminar</t>
  </si>
  <si>
    <t>Flow Turbulent</t>
  </si>
  <si>
    <t>Laminar Velocity</t>
  </si>
  <si>
    <t>l / min</t>
  </si>
  <si>
    <t>Reynolds Flow Laminar</t>
  </si>
  <si>
    <t>Is Flow Turbulent?</t>
  </si>
  <si>
    <t>m / s</t>
  </si>
  <si>
    <t>ft / s</t>
  </si>
  <si>
    <t>Turbulent Flowrate</t>
  </si>
  <si>
    <t>Laminar Flowrate</t>
  </si>
  <si>
    <t>Resulting Flowrate</t>
  </si>
  <si>
    <t>Default values were 100°C / 68°F, now 40°C / 100°F</t>
  </si>
  <si>
    <t>Default was 3 months, now 6 months per request from Henri Azibert</t>
  </si>
  <si>
    <t>Default was 30%, now 60% per request from Henri Azibert</t>
  </si>
  <si>
    <t>mm/mm/°C</t>
  </si>
  <si>
    <t>in/in/°F</t>
  </si>
  <si>
    <t>Hidden Data</t>
  </si>
  <si>
    <t>ml/hr</t>
  </si>
  <si>
    <t>in³/hr</t>
  </si>
  <si>
    <t>Current Senario</t>
  </si>
  <si>
    <t>Format = Reference data</t>
  </si>
  <si>
    <t>Format = Calculated data</t>
  </si>
  <si>
    <t>Format = user input data (converted to metric or inch units of measure)</t>
  </si>
  <si>
    <t xml:space="preserve">Default for metric was 1.50€ /mm, now calculated using Imperial cost and exchange rate then rounded to nearest 0.05€ </t>
  </si>
  <si>
    <t>Cost of Loss of Production (per machine)</t>
  </si>
  <si>
    <t>Annual Environmental Cost (per machine)</t>
  </si>
  <si>
    <t>Additional Annual Costs (per seal chamber)</t>
  </si>
  <si>
    <t>Packing Disposal Costs</t>
  </si>
  <si>
    <t>kW per machine</t>
  </si>
  <si>
    <t>Worksheet Title</t>
  </si>
  <si>
    <t>Field Title</t>
  </si>
  <si>
    <t>Row number in Version 3.2</t>
  </si>
  <si>
    <t>Row number in this document</t>
  </si>
  <si>
    <t>Effect</t>
  </si>
  <si>
    <t>Change Description</t>
  </si>
  <si>
    <t>WELCOME</t>
  </si>
  <si>
    <t>Main Title</t>
  </si>
  <si>
    <t>low</t>
  </si>
  <si>
    <t>Changed version number</t>
  </si>
  <si>
    <t>The FSA/ESA Seal Life-Cycle Estimator has …</t>
  </si>
  <si>
    <t>12-27</t>
  </si>
  <si>
    <t>Updated description of changes in current version of the document</t>
  </si>
  <si>
    <t>Entire worksheet</t>
  </si>
  <si>
    <t>All</t>
  </si>
  <si>
    <t>Changed column width to ensure common print scaling throughout the worksheets contained within the document</t>
  </si>
  <si>
    <t>COST DEFINITIONS</t>
  </si>
  <si>
    <t>FLUSH PLANS</t>
  </si>
  <si>
    <t>87-112</t>
  </si>
  <si>
    <t>23-49</t>
  </si>
  <si>
    <t>Updated artwork of packed box cross-section</t>
  </si>
  <si>
    <t>INPUTS-OUTPUTS</t>
  </si>
  <si>
    <t>High</t>
  </si>
  <si>
    <t>Changed multiple formulae to remove errors caused by calculations using mixed units of measure when "Metric" units of measure is selected.  Added hidden columns that converts each input data into both metric and US units.  Calculated fields then use the correct units of measure when completing the calculations.  Answers are carried over to the output section by selecting the appropriate calculated value based on the unit of measure selected.  Data carried over from other worksheets are grouped together at the top of the hidden columns rather than referencing from within individual formulae (for ease of debugging).  Removed all named cells (except unit of measure).  Added units of measure to all hidden converted and calculated data</t>
  </si>
  <si>
    <t>Default € rate rounded to the nearest 5€.  Was no rounding</t>
  </si>
  <si>
    <t>Default € rate rounded to the nearest 10€.  Was no rounding</t>
  </si>
  <si>
    <t>Default € rate rounded to the nearest 0.05 €/m³.  Was no rounding</t>
  </si>
  <si>
    <t>Default € rate rounded to the nearest 0.05€.  Was no rounding</t>
  </si>
  <si>
    <t>Product Loss Flow rate (Dependent On Selection)</t>
  </si>
  <si>
    <t>Medium</t>
  </si>
  <si>
    <t>Flow-thru Flush - In some applications the External Flush is allowed to leave the equipment through a second lantern ring connection fitted with a flow restrictor to maintain adequate pressure inside the packing. While this approach does reduce the amount of process dilution, the flow-thru rate can be quite high and must eventually be treated as effluent. THIS IS THE METHOD OF CALCULATION USED BY THE LCC CALCULATOR</t>
  </si>
  <si>
    <t>Packing Leakage rate - Packing requires a minimum amount of leakage in order to operate without damage from friction and overheating. While the leakage rate is dependent on a number of factors including shaft size, packing size, number of rings, type of packing, process viscosity, packing gland adjustment, equipment condition, and the age of the packing, the generally accepted best practice is to adjust the packing gland to produce a leakage rate of 30 drops per minute.</t>
  </si>
  <si>
    <t>The output now includes a calculation of the carbon footprint of each of the evaluated scenarios.</t>
  </si>
  <si>
    <t>This is the cost of complying with environmental regulations for the particular scenario selected (e.g. monthly OVA sniffing of single seals). It could also include penalties and fines for fugitive emissions if these are regularly occurring in an existing application.</t>
  </si>
  <si>
    <t>These costs may include special area preparations, installation and connection of utilities piping systems, electrical wiring and instrumentation, installation of auxiliary systems, and special services required at start-up.</t>
  </si>
  <si>
    <t>Flush-to-Process Dilution - External Flush not accounted for as Packing Leakage or Flow-thru is assumed to be flowing into the process, resulting in Flush-to-Process Dilution. As discussed above, the costs associated with restoring the process to specification should be estimated and considered in Section 4 of INPUTS-OUTPUTS page.</t>
  </si>
  <si>
    <t>Flow-thru-flush</t>
  </si>
  <si>
    <t>122-124</t>
  </si>
  <si>
    <t>Flush-to-Process</t>
  </si>
  <si>
    <t>126-128</t>
  </si>
  <si>
    <t xml:space="preserve">Removed note at end of paragraph.  Was method of choice in Europe.  Added comment with instructions about how to manipulate LCC to calculate this method </t>
  </si>
  <si>
    <t>Changed note at end of paragraph from being the method of choice in North America to indicate this is the method used by the LCC calculator</t>
  </si>
  <si>
    <t>Added ambient temperature as an input variable to enable user to accommodate variations in local ambient.</t>
  </si>
  <si>
    <r>
      <t>C</t>
    </r>
    <r>
      <rPr>
        <vertAlign val="subscript"/>
        <sz val="11"/>
        <rFont val="Arial"/>
        <family val="2"/>
      </rPr>
      <t>env</t>
    </r>
    <r>
      <rPr>
        <sz val="11"/>
        <rFont val="Arial"/>
        <family val="2"/>
      </rPr>
      <t xml:space="preserve">  Environmental Cost</t>
    </r>
  </si>
  <si>
    <r>
      <t>C</t>
    </r>
    <r>
      <rPr>
        <vertAlign val="subscript"/>
        <sz val="11"/>
        <rFont val="Arial"/>
        <family val="2"/>
      </rPr>
      <t>en</t>
    </r>
    <r>
      <rPr>
        <sz val="11"/>
        <rFont val="Arial"/>
        <family val="2"/>
      </rPr>
      <t xml:space="preserve">   Energy Cost: Direct Power Consumption</t>
    </r>
  </si>
  <si>
    <r>
      <t>C</t>
    </r>
    <r>
      <rPr>
        <vertAlign val="subscript"/>
        <sz val="11"/>
        <rFont val="Arial"/>
        <family val="2"/>
      </rPr>
      <t>en</t>
    </r>
    <r>
      <rPr>
        <sz val="11"/>
        <rFont val="Arial"/>
        <family val="2"/>
      </rPr>
      <t xml:space="preserve">   Energy Cost: Heat Soak</t>
    </r>
  </si>
  <si>
    <r>
      <t>C</t>
    </r>
    <r>
      <rPr>
        <vertAlign val="subscript"/>
        <sz val="11"/>
        <rFont val="Arial"/>
        <family val="2"/>
      </rPr>
      <t>en</t>
    </r>
    <r>
      <rPr>
        <sz val="11"/>
        <rFont val="Arial"/>
        <family val="2"/>
      </rPr>
      <t xml:space="preserve">   Energy Cost: Flush Cooling</t>
    </r>
  </si>
  <si>
    <r>
      <t>C</t>
    </r>
    <r>
      <rPr>
        <vertAlign val="subscript"/>
        <sz val="11"/>
        <rFont val="Arial"/>
        <family val="2"/>
      </rPr>
      <t>en</t>
    </r>
    <r>
      <rPr>
        <sz val="11"/>
        <rFont val="Arial"/>
        <family val="2"/>
      </rPr>
      <t xml:space="preserve">   Energy Cost: Removal of Flush-to-Process Dilution</t>
    </r>
  </si>
  <si>
    <r>
      <t>C</t>
    </r>
    <r>
      <rPr>
        <vertAlign val="subscript"/>
        <sz val="11"/>
        <rFont val="Arial"/>
        <family val="2"/>
      </rPr>
      <t>m</t>
    </r>
    <r>
      <rPr>
        <sz val="11"/>
        <rFont val="Arial"/>
        <family val="2"/>
      </rPr>
      <t xml:space="preserve">   Miscellaneous Energy Costs</t>
    </r>
  </si>
  <si>
    <r>
      <t>C</t>
    </r>
    <r>
      <rPr>
        <vertAlign val="subscript"/>
        <sz val="11"/>
        <rFont val="Arial"/>
        <family val="2"/>
      </rPr>
      <t>ic</t>
    </r>
    <r>
      <rPr>
        <sz val="11"/>
        <rFont val="Arial"/>
        <family val="2"/>
      </rPr>
      <t xml:space="preserve">    Initial Purchase Cost (Investment)</t>
    </r>
  </si>
  <si>
    <r>
      <t>C</t>
    </r>
    <r>
      <rPr>
        <vertAlign val="subscript"/>
        <sz val="11"/>
        <rFont val="Arial"/>
        <family val="2"/>
      </rPr>
      <t>d</t>
    </r>
    <r>
      <rPr>
        <sz val="11"/>
        <rFont val="Arial"/>
        <family val="2"/>
      </rPr>
      <t xml:space="preserve">     Decommissioning and Disposal Cost</t>
    </r>
  </si>
  <si>
    <r>
      <t>CO</t>
    </r>
    <r>
      <rPr>
        <vertAlign val="subscript"/>
        <sz val="11"/>
        <rFont val="Arial"/>
        <family val="2"/>
      </rPr>
      <t>2</t>
    </r>
    <r>
      <rPr>
        <sz val="11"/>
        <rFont val="Arial"/>
        <family val="2"/>
      </rPr>
      <t xml:space="preserve"> Equivalent Emissions</t>
    </r>
  </si>
  <si>
    <r>
      <t>Added label W</t>
    </r>
    <r>
      <rPr>
        <vertAlign val="subscript"/>
        <sz val="10"/>
        <color indexed="8"/>
        <rFont val="Arial"/>
        <family val="2"/>
      </rPr>
      <t>f</t>
    </r>
    <r>
      <rPr>
        <sz val="10"/>
        <rFont val="Arial"/>
        <family val="2"/>
      </rPr>
      <t>.  Changed metric default value from 5.08 to 5.00 mm</t>
    </r>
  </si>
  <si>
    <r>
      <t>Added label W</t>
    </r>
    <r>
      <rPr>
        <vertAlign val="subscript"/>
        <sz val="10"/>
        <color indexed="8"/>
        <rFont val="Arial"/>
        <family val="2"/>
      </rPr>
      <t>f</t>
    </r>
    <r>
      <rPr>
        <sz val="10"/>
        <rFont val="Arial"/>
        <family val="2"/>
      </rPr>
      <t xml:space="preserve"> into formula (Column E) so that it is independent from units of measure</t>
    </r>
  </si>
  <si>
    <r>
      <t>Rearranged formula (Column E) so that it is independent from units of measure.  Changed pressure to reference ΔP</t>
    </r>
    <r>
      <rPr>
        <vertAlign val="subscript"/>
        <sz val="10"/>
        <color indexed="8"/>
        <rFont val="Arial"/>
        <family val="2"/>
      </rPr>
      <t>1</t>
    </r>
    <r>
      <rPr>
        <sz val="10"/>
        <rFont val="Arial"/>
        <family val="2"/>
      </rPr>
      <t xml:space="preserve"> and </t>
    </r>
    <r>
      <rPr>
        <vertAlign val="subscript"/>
        <sz val="10"/>
        <color indexed="8"/>
        <rFont val="Arial"/>
        <family val="2"/>
      </rPr>
      <t>2</t>
    </r>
  </si>
  <si>
    <t xml:space="preserve">Added "Per Face Pair" in description.  Default for metric was 30€ /mm, now calculated using Imperial cost and exchange rate rounded to nearest 5€ </t>
  </si>
  <si>
    <t>Show Hidden Data:</t>
  </si>
  <si>
    <t>Added field in columns L/M to toggle visibility of graph data</t>
  </si>
  <si>
    <t>For packing, includes flush flow thru and packing leakage</t>
  </si>
  <si>
    <t>- Seals: Plan 54 was barrier leaked to atmosphere, all other plans were quench flow rate leaked to atmosphere, 
changed to all seals with plan 62, leakage is sum of seal leakage rate and quench flow rate, 
all other piping plans except 72, 74 or 76 is leakage rate of seal (used barrier leaked to atmosphere)
- Unit of measure was € ($), now  € / year ($ / year)</t>
  </si>
  <si>
    <t>REVISION HISTORY</t>
  </si>
  <si>
    <t>REVISION HISTORY DETAIL</t>
  </si>
  <si>
    <t>New - Added to document revision changes</t>
  </si>
  <si>
    <t>New - Added to document revision changes in detail</t>
  </si>
  <si>
    <t>Revision History</t>
  </si>
  <si>
    <t>Version</t>
  </si>
  <si>
    <t>Date</t>
  </si>
  <si>
    <t>Description</t>
  </si>
  <si>
    <t>3.2.1</t>
  </si>
  <si>
    <t>The packing cost calculations now more accurately reflect the MTBR of the packing rings versus the packing rings together with packing sleeve replacement</t>
  </si>
  <si>
    <t>Velocity @ Packing Sleeve Diameter</t>
  </si>
  <si>
    <r>
      <t>V</t>
    </r>
    <r>
      <rPr>
        <vertAlign val="subscript"/>
        <sz val="11"/>
        <rFont val="Tahoma"/>
        <family val="2"/>
      </rPr>
      <t>m</t>
    </r>
    <r>
      <rPr>
        <sz val="11"/>
        <rFont val="Tahoma"/>
        <family val="2"/>
      </rPr>
      <t xml:space="preserve"> = </t>
    </r>
    <r>
      <rPr>
        <sz val="11"/>
        <rFont val="Times New Roman"/>
        <family val="1"/>
      </rPr>
      <t>π</t>
    </r>
    <r>
      <rPr>
        <sz val="11"/>
        <rFont val="Tahoma"/>
        <family val="2"/>
      </rPr>
      <t>·D</t>
    </r>
    <r>
      <rPr>
        <vertAlign val="subscript"/>
        <sz val="11"/>
        <rFont val="Tahoma"/>
        <family val="2"/>
      </rPr>
      <t>m</t>
    </r>
    <r>
      <rPr>
        <sz val="11"/>
        <rFont val="Tahoma"/>
        <family val="2"/>
      </rPr>
      <t>·RPM</t>
    </r>
  </si>
  <si>
    <r>
      <t>V</t>
    </r>
    <r>
      <rPr>
        <vertAlign val="subscript"/>
        <sz val="11"/>
        <rFont val="Tahoma"/>
        <family val="2"/>
      </rPr>
      <t>m</t>
    </r>
    <r>
      <rPr>
        <sz val="11"/>
        <rFont val="Tahoma"/>
        <family val="2"/>
      </rPr>
      <t xml:space="preserve"> = </t>
    </r>
    <r>
      <rPr>
        <sz val="11"/>
        <rFont val="Times New Roman"/>
        <family val="1"/>
      </rPr>
      <t>π</t>
    </r>
    <r>
      <rPr>
        <sz val="11"/>
        <rFont val="Tahoma"/>
        <family val="2"/>
      </rPr>
      <t>·D·RPM</t>
    </r>
  </si>
  <si>
    <r>
      <t>= V</t>
    </r>
    <r>
      <rPr>
        <vertAlign val="subscript"/>
        <sz val="11"/>
        <rFont val="Tahoma"/>
        <family val="2"/>
      </rPr>
      <t>m</t>
    </r>
    <r>
      <rPr>
        <sz val="11"/>
        <rFont val="Tahoma"/>
        <family val="2"/>
      </rPr>
      <t>·</t>
    </r>
    <r>
      <rPr>
        <sz val="11"/>
        <rFont val="Times New Roman"/>
        <family val="1"/>
      </rPr>
      <t>π</t>
    </r>
    <r>
      <rPr>
        <sz val="11"/>
        <rFont val="Tahoma"/>
        <family val="2"/>
      </rPr>
      <t>·D·L·P·</t>
    </r>
    <r>
      <rPr>
        <sz val="11"/>
        <rFont val="Times New Roman"/>
        <family val="1"/>
      </rPr>
      <t>μ</t>
    </r>
    <r>
      <rPr>
        <vertAlign val="subscript"/>
        <sz val="11"/>
        <rFont val="Tahoma"/>
        <family val="2"/>
      </rPr>
      <t>packing</t>
    </r>
  </si>
  <si>
    <r>
      <rPr>
        <sz val="11"/>
        <rFont val="Times New Roman"/>
        <family val="1"/>
      </rPr>
      <t>μ</t>
    </r>
    <r>
      <rPr>
        <vertAlign val="subscript"/>
        <sz val="11"/>
        <rFont val="Tahoma"/>
        <family val="2"/>
      </rPr>
      <t>packing</t>
    </r>
  </si>
  <si>
    <r>
      <t>PV=[ΔP (b-P</t>
    </r>
    <r>
      <rPr>
        <vertAlign val="subscript"/>
        <sz val="11"/>
        <rFont val="Tahoma"/>
        <family val="2"/>
      </rPr>
      <t>grad</t>
    </r>
    <r>
      <rPr>
        <sz val="11"/>
        <rFont val="Tahoma"/>
        <family val="2"/>
      </rPr>
      <t>)+P</t>
    </r>
    <r>
      <rPr>
        <vertAlign val="subscript"/>
        <sz val="11"/>
        <rFont val="Tahoma"/>
        <family val="2"/>
      </rPr>
      <t>sp</t>
    </r>
    <r>
      <rPr>
        <sz val="11"/>
        <rFont val="Tahoma"/>
        <family val="2"/>
      </rPr>
      <t>] ·V</t>
    </r>
    <r>
      <rPr>
        <vertAlign val="subscript"/>
        <sz val="11"/>
        <rFont val="Tahoma"/>
        <family val="2"/>
      </rPr>
      <t>m</t>
    </r>
  </si>
  <si>
    <r>
      <t>Ao = Ac/b = D</t>
    </r>
    <r>
      <rPr>
        <vertAlign val="subscript"/>
        <sz val="11"/>
        <rFont val="Tahoma"/>
        <family val="2"/>
      </rPr>
      <t>m</t>
    </r>
    <r>
      <rPr>
        <sz val="11"/>
        <rFont val="Tahoma"/>
        <family val="2"/>
      </rPr>
      <t>·</t>
    </r>
    <r>
      <rPr>
        <sz val="11"/>
        <rFont val="Times New Roman"/>
        <family val="1"/>
      </rPr>
      <t>π</t>
    </r>
    <r>
      <rPr>
        <sz val="11"/>
        <rFont val="Tahoma"/>
        <family val="2"/>
      </rPr>
      <t>·W</t>
    </r>
    <r>
      <rPr>
        <vertAlign val="subscript"/>
        <sz val="11"/>
        <rFont val="Tahoma"/>
        <family val="2"/>
      </rPr>
      <t>f</t>
    </r>
  </si>
  <si>
    <r>
      <t>= N</t>
    </r>
    <r>
      <rPr>
        <vertAlign val="subscript"/>
        <sz val="11"/>
        <rFont val="Tahoma"/>
        <family val="2"/>
      </rPr>
      <t xml:space="preserve"> f</t>
    </r>
  </si>
  <si>
    <r>
      <t>= PV·</t>
    </r>
    <r>
      <rPr>
        <sz val="11"/>
        <rFont val="Times New Roman"/>
        <family val="1"/>
      </rPr>
      <t>μ</t>
    </r>
    <r>
      <rPr>
        <sz val="11"/>
        <rFont val="Tahoma"/>
        <family val="2"/>
      </rPr>
      <t>·A</t>
    </r>
    <r>
      <rPr>
        <vertAlign val="subscript"/>
        <sz val="11"/>
        <rFont val="Tahoma"/>
        <family val="2"/>
      </rPr>
      <t>o</t>
    </r>
  </si>
  <si>
    <r>
      <t>= [ΔP(b - P</t>
    </r>
    <r>
      <rPr>
        <vertAlign val="subscript"/>
        <sz val="11"/>
        <rFont val="Tahoma"/>
        <family val="2"/>
      </rPr>
      <t>grad</t>
    </r>
    <r>
      <rPr>
        <sz val="11"/>
        <rFont val="Tahoma"/>
        <family val="2"/>
      </rPr>
      <t>) + P</t>
    </r>
    <r>
      <rPr>
        <vertAlign val="subscript"/>
        <sz val="11"/>
        <rFont val="Tahoma"/>
        <family val="2"/>
      </rPr>
      <t>sp</t>
    </r>
    <r>
      <rPr>
        <sz val="11"/>
        <rFont val="Tahoma"/>
        <family val="2"/>
      </rPr>
      <t>] ·V</t>
    </r>
    <r>
      <rPr>
        <vertAlign val="subscript"/>
        <sz val="11"/>
        <rFont val="Tahoma"/>
        <family val="2"/>
      </rPr>
      <t>m</t>
    </r>
    <r>
      <rPr>
        <sz val="11"/>
        <rFont val="Tahoma"/>
        <family val="2"/>
      </rPr>
      <t>·</t>
    </r>
    <r>
      <rPr>
        <sz val="11"/>
        <rFont val="Times New Roman"/>
        <family val="1"/>
      </rPr>
      <t>μ</t>
    </r>
    <r>
      <rPr>
        <sz val="11"/>
        <rFont val="Tahoma"/>
        <family val="2"/>
      </rPr>
      <t>·A</t>
    </r>
    <r>
      <rPr>
        <vertAlign val="subscript"/>
        <sz val="11"/>
        <rFont val="Tahoma"/>
        <family val="2"/>
      </rPr>
      <t>o</t>
    </r>
  </si>
  <si>
    <r>
      <t>= [ΔP(b - P</t>
    </r>
    <r>
      <rPr>
        <vertAlign val="subscript"/>
        <sz val="11"/>
        <rFont val="Tahoma"/>
        <family val="2"/>
      </rPr>
      <t>grad</t>
    </r>
    <r>
      <rPr>
        <sz val="11"/>
        <rFont val="Tahoma"/>
        <family val="2"/>
      </rPr>
      <t>) + P</t>
    </r>
    <r>
      <rPr>
        <vertAlign val="subscript"/>
        <sz val="11"/>
        <rFont val="Tahoma"/>
        <family val="2"/>
      </rPr>
      <t>sp</t>
    </r>
    <r>
      <rPr>
        <sz val="11"/>
        <rFont val="Tahoma"/>
        <family val="2"/>
      </rPr>
      <t>] ·D</t>
    </r>
    <r>
      <rPr>
        <vertAlign val="subscript"/>
        <sz val="11"/>
        <rFont val="Tahoma"/>
        <family val="2"/>
      </rPr>
      <t>m</t>
    </r>
    <r>
      <rPr>
        <sz val="11"/>
        <rFont val="Tahoma"/>
        <family val="2"/>
      </rPr>
      <t>²·</t>
    </r>
    <r>
      <rPr>
        <sz val="11"/>
        <rFont val="Times New Roman"/>
        <family val="1"/>
      </rPr>
      <t>π</t>
    </r>
    <r>
      <rPr>
        <sz val="11"/>
        <rFont val="Tahoma"/>
        <family val="2"/>
      </rPr>
      <t>²·</t>
    </r>
    <r>
      <rPr>
        <sz val="11"/>
        <rFont val="Times New Roman"/>
        <family val="1"/>
      </rPr>
      <t>μ</t>
    </r>
    <r>
      <rPr>
        <sz val="11"/>
        <rFont val="Tahoma"/>
        <family val="2"/>
      </rPr>
      <t>·W</t>
    </r>
    <r>
      <rPr>
        <vertAlign val="subscript"/>
        <sz val="11"/>
        <rFont val="Tahoma"/>
        <family val="2"/>
      </rPr>
      <t>f</t>
    </r>
    <r>
      <rPr>
        <sz val="11"/>
        <rFont val="Tahoma"/>
        <family val="2"/>
      </rPr>
      <t>·RPM</t>
    </r>
  </si>
  <si>
    <r>
      <t>= [ΔP(b - P</t>
    </r>
    <r>
      <rPr>
        <vertAlign val="subscript"/>
        <sz val="11"/>
        <rFont val="Tahoma"/>
        <family val="2"/>
      </rPr>
      <t>grad</t>
    </r>
    <r>
      <rPr>
        <sz val="11"/>
        <rFont val="Tahoma"/>
        <family val="2"/>
      </rPr>
      <t>) + 2·P</t>
    </r>
    <r>
      <rPr>
        <vertAlign val="subscript"/>
        <sz val="11"/>
        <rFont val="Tahoma"/>
        <family val="2"/>
      </rPr>
      <t>sp</t>
    </r>
    <r>
      <rPr>
        <sz val="11"/>
        <rFont val="Tahoma"/>
        <family val="2"/>
      </rPr>
      <t>] ·D</t>
    </r>
    <r>
      <rPr>
        <vertAlign val="subscript"/>
        <sz val="11"/>
        <rFont val="Tahoma"/>
        <family val="2"/>
      </rPr>
      <t>m</t>
    </r>
    <r>
      <rPr>
        <sz val="11"/>
        <rFont val="Tahoma"/>
        <family val="2"/>
      </rPr>
      <t>²·</t>
    </r>
    <r>
      <rPr>
        <sz val="11"/>
        <rFont val="Times New Roman"/>
        <family val="1"/>
      </rPr>
      <t>π</t>
    </r>
    <r>
      <rPr>
        <sz val="11"/>
        <rFont val="Tahoma"/>
        <family val="2"/>
      </rPr>
      <t>²·</t>
    </r>
    <r>
      <rPr>
        <sz val="11"/>
        <rFont val="Times New Roman"/>
        <family val="1"/>
      </rPr>
      <t>μ</t>
    </r>
    <r>
      <rPr>
        <sz val="11"/>
        <rFont val="Tahoma"/>
        <family val="2"/>
      </rPr>
      <t>·W</t>
    </r>
    <r>
      <rPr>
        <vertAlign val="subscript"/>
        <sz val="11"/>
        <rFont val="Tahoma"/>
        <family val="2"/>
      </rPr>
      <t>f</t>
    </r>
    <r>
      <rPr>
        <sz val="11"/>
        <rFont val="Tahoma"/>
        <family val="2"/>
      </rPr>
      <t>·RPM</t>
    </r>
  </si>
  <si>
    <r>
      <t>= { [ΔP</t>
    </r>
    <r>
      <rPr>
        <vertAlign val="subscript"/>
        <sz val="11"/>
        <rFont val="Tahoma"/>
        <family val="2"/>
      </rPr>
      <t>1</t>
    </r>
    <r>
      <rPr>
        <sz val="11"/>
        <rFont val="Tahoma"/>
        <family val="2"/>
      </rPr>
      <t>(b - P</t>
    </r>
    <r>
      <rPr>
        <vertAlign val="subscript"/>
        <sz val="11"/>
        <rFont val="Tahoma"/>
        <family val="2"/>
      </rPr>
      <t>grad</t>
    </r>
    <r>
      <rPr>
        <sz val="11"/>
        <rFont val="Tahoma"/>
        <family val="2"/>
      </rPr>
      <t>) + P</t>
    </r>
    <r>
      <rPr>
        <vertAlign val="subscript"/>
        <sz val="11"/>
        <rFont val="Tahoma"/>
        <family val="2"/>
      </rPr>
      <t>sp</t>
    </r>
    <r>
      <rPr>
        <sz val="11"/>
        <rFont val="Tahoma"/>
        <family val="2"/>
      </rPr>
      <t>] + [ΔP</t>
    </r>
    <r>
      <rPr>
        <vertAlign val="subscript"/>
        <sz val="11"/>
        <rFont val="Tahoma"/>
        <family val="2"/>
      </rPr>
      <t>2</t>
    </r>
    <r>
      <rPr>
        <sz val="11"/>
        <rFont val="Tahoma"/>
        <family val="2"/>
      </rPr>
      <t>(b - Pgrad) + Psp] } ·D</t>
    </r>
    <r>
      <rPr>
        <vertAlign val="subscript"/>
        <sz val="11"/>
        <rFont val="Tahoma"/>
        <family val="2"/>
      </rPr>
      <t>m</t>
    </r>
    <r>
      <rPr>
        <sz val="11"/>
        <rFont val="Tahoma"/>
        <family val="2"/>
      </rPr>
      <t>²·</t>
    </r>
    <r>
      <rPr>
        <sz val="11"/>
        <rFont val="Times New Roman"/>
        <family val="1"/>
      </rPr>
      <t>π</t>
    </r>
    <r>
      <rPr>
        <sz val="11"/>
        <rFont val="Tahoma"/>
        <family val="2"/>
      </rPr>
      <t>²·</t>
    </r>
    <r>
      <rPr>
        <sz val="11"/>
        <rFont val="Times New Roman"/>
        <family val="1"/>
      </rPr>
      <t>μ</t>
    </r>
    <r>
      <rPr>
        <sz val="11"/>
        <rFont val="Tahoma"/>
        <family val="2"/>
      </rPr>
      <t>·W</t>
    </r>
    <r>
      <rPr>
        <vertAlign val="subscript"/>
        <sz val="11"/>
        <rFont val="Tahoma"/>
        <family val="2"/>
      </rPr>
      <t>f</t>
    </r>
    <r>
      <rPr>
        <sz val="11"/>
        <rFont val="Tahoma"/>
        <family val="2"/>
      </rPr>
      <t>·RPM</t>
    </r>
  </si>
  <si>
    <t>= 60792710 (Metric Units - kW, Bar, mm, RPM),   40123 (Imperial Units - HP, psi, inch, RPM)</t>
  </si>
  <si>
    <r>
      <t>= D²·L·P·RPM·</t>
    </r>
    <r>
      <rPr>
        <sz val="11"/>
        <rFont val="Times New Roman"/>
        <family val="1"/>
      </rPr>
      <t>μ</t>
    </r>
    <r>
      <rPr>
        <vertAlign val="subscript"/>
        <sz val="11"/>
        <rFont val="Tahoma"/>
        <family val="2"/>
      </rPr>
      <t>packing</t>
    </r>
    <r>
      <rPr>
        <sz val="11"/>
        <rFont val="Tahoma"/>
        <family val="2"/>
      </rPr>
      <t xml:space="preserve"> / Power Conversion Factor</t>
    </r>
  </si>
  <si>
    <t>Metric calculation did not match  inch calculation.  Formula updated for both metric and imperial units from data received from Chesterton (Henri Azibert)</t>
  </si>
  <si>
    <t>Revised heat load calculations</t>
  </si>
  <si>
    <t>3.0</t>
  </si>
  <si>
    <t>4.0</t>
  </si>
  <si>
    <t>1.0</t>
  </si>
  <si>
    <t>This tool allows you to estimate Life-Cycle Costs for sealing solutions on a comparative basis to assist in decision-making when specifying capital projects or upgrading existing rotating equipment technology. 
The user can compare up to 3 Scenarios using a variety of arrangements including single seals, dual seals, single seals with dry-running secondary containment, non-contacting gas seals, mechanical packing, and sealless pumps.</t>
  </si>
  <si>
    <t>The  Energy Cost now includes heat soak, diluent removal, and flush heating/cooling in addition to the frictional power consumed by the seal.  The associated costs are now summed with the others to provide a more comprehensive total life-cycle cost estimate.
Provisions for metric and imperial units are now included
Default values and the 'Flush Plans' page have been revised.
New sheets have been added with pie charts showing the components of the annual energy footprint and operating costs of each case.
Scenarios for API flush plans 21, 23, and 32 have been modified and a flush fluid selector added.  There are fluid properties for 7 commonly used flush fluids, and the user has the option of adding properties for a custom fluid.
A bushing flow calculator has been added to estimate flow past a throat bushing at operating temperature.  This is especially useful for estimating the flush flow rate of an API Plan 32 scenario.</t>
  </si>
  <si>
    <t>Process Fluid Specific Gravity at Pumping Temperature</t>
  </si>
  <si>
    <t>Process Fluid Kinematic Viscosity at Pumping Temperature</t>
  </si>
  <si>
    <t>added "at Pumping Temperature" to field label</t>
  </si>
  <si>
    <t>Graph Data (carried over from other sheets)</t>
  </si>
  <si>
    <t>Required for Plans 21+, 32, 52, 53+, 54 only.  Use 21°C/70°F for single seals, 65°C/150°F for dual seals</t>
  </si>
  <si>
    <t>Required for Plans containing heat exchanger (Plan 21, 23, 52, 53+, 54).  Value used even if air cooled heat exchanger is used</t>
  </si>
  <si>
    <t>Drop Size</t>
  </si>
  <si>
    <t>Drops per ml</t>
  </si>
  <si>
    <t>Seal Leakage is equal to 1000 PPM or 1 drop/minute</t>
  </si>
  <si>
    <t xml:space="preserve">· · · · · · · · · · · · · · · · · · · · · · · · · · · · · · · · · · · · · · · · · · · · · · · · · · · · · · · · · · · · · · · · · · · · · · · · · · · · · · · · · · </t>
  </si>
  <si>
    <t>Drop Volume</t>
  </si>
  <si>
    <t>Added ability of user to change drop size.  Default value used is for( non-metric) medical drop = 1/12th ml</t>
  </si>
  <si>
    <t>46-47</t>
  </si>
  <si>
    <t>49-50</t>
  </si>
  <si>
    <t>53-55</t>
  </si>
  <si>
    <t>73-75</t>
  </si>
  <si>
    <t>113-121</t>
  </si>
  <si>
    <t>Added reference to shaft diameter for leakage in drops/min and ppm.  Changed "GPM/inch" to "in³ / hour / inch sleeve diameter".  Changed "l/hr/mm" to "ml/hr/mm". Metric default leakage was 1.44 ml/hr/mm.  Changed to calculated value from volume of drop (row 33)</t>
  </si>
  <si>
    <t>Flush Fluid Selector Lookup List (Carried over from ASSUMPTION TAB)</t>
  </si>
  <si>
    <t>Seal flush injection/average barrier temp</t>
  </si>
  <si>
    <t>Calculated value in row below.  This line allows user to override calculated value</t>
  </si>
  <si>
    <t>Added row to enable user to overwrite calculated value (that is calculated on this hidden row and displayed to the user in the row above)</t>
  </si>
  <si>
    <r>
      <rPr>
        <b/>
        <sz val="11"/>
        <rFont val="Tahoma"/>
        <family val="2"/>
      </rPr>
      <t>Note:</t>
    </r>
    <r>
      <rPr>
        <sz val="11"/>
        <rFont val="Tahoma"/>
        <family val="2"/>
      </rPr>
      <t xml:space="preserve"> Units of measure can be changed in the "INPUTS-OUTPUTS" worksheet</t>
    </r>
  </si>
  <si>
    <r>
      <t>Print the entire INPUTS - OUTPUTS spreadshe</t>
    </r>
    <r>
      <rPr>
        <b/>
        <sz val="11"/>
        <color indexed="8"/>
        <rFont val="Tahoma"/>
        <family val="2"/>
      </rPr>
      <t>et (3 pages)</t>
    </r>
    <r>
      <rPr>
        <b/>
        <sz val="11"/>
        <rFont val="Tahoma"/>
        <family val="2"/>
      </rPr>
      <t xml:space="preserve"> to use as support for your recommendation.</t>
    </r>
  </si>
  <si>
    <t>To avoid errors caused by calculated fields being over-written with manually entered data, it is recommended that all new calculations start with an unmodified version of this spreadsheet as downloaded from FSA's website.</t>
  </si>
  <si>
    <t>A more robust method of calculating with imperial or metric units of measure has been incorporated into the spreadsheet design.</t>
  </si>
  <si>
    <t>Assumption values and Input fields now change color when values different to the default are entered.  This allows the user to easilly see which fields have been modified in the spreadsheet.</t>
  </si>
  <si>
    <t>Single Seal: Plan 32 (Flush from External Source. See detailed discussion on FLUSH PLANS page)</t>
  </si>
  <si>
    <t>7-14</t>
  </si>
  <si>
    <t>Added sentence</t>
  </si>
  <si>
    <t>Added conditional formating so that the color of the input field will change to orange if the value is different from the default value</t>
  </si>
  <si>
    <t xml:space="preserve">The output now includes a calculation of the carbon footprint of each of the evaluated scenarios.  Imporvements to packing cost calculations were made to more accurately reflect costs.  Some bug fixes in the metric calculations were completed.  Improvements to cell formatting of user entered data were incorporated
</t>
  </si>
  <si>
    <t>Welcome to the FSA/ESA Life-Cycle Cost Estimator - Version 4.1</t>
  </si>
  <si>
    <t>Some corrections to allow users to adjust the gas consumption of gas seals has been incorporated.</t>
  </si>
  <si>
    <t>Detailed Description of Revision Changes for Revision 4.0</t>
  </si>
  <si>
    <t>Detailed Description of Revision Changes for Revision 4.1</t>
  </si>
  <si>
    <t>Row number in Version 4.0</t>
  </si>
  <si>
    <t>3, 6</t>
  </si>
  <si>
    <t>Changed version number and revised date</t>
  </si>
  <si>
    <t>Revision description</t>
  </si>
  <si>
    <t>Changed formula to allow user to change calculated value (using the same method sed for all other calculated values - missed in revision 4.0 rewrite)</t>
  </si>
  <si>
    <t>4.0 REVISION HISTORY DETAIL</t>
  </si>
  <si>
    <t>Renamed worksheet</t>
  </si>
  <si>
    <t>4.1 REVISION HISTORY DETAIL</t>
  </si>
  <si>
    <t>Added worksheet</t>
  </si>
  <si>
    <t>Barrier Gas  / Buffer Gas Usage formula modified to allow the user to over-ride the calculated value</t>
  </si>
  <si>
    <t>Added description of change</t>
  </si>
  <si>
    <t>Revision, description and date</t>
  </si>
  <si>
    <t>The FSA/ESA Seal Life-Cycle Estimator has a number of changes and additions as of June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</si>
</sst>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4" formatCode="_(&quot;$&quot;* #,##0.00_);_(&quot;$&quot;* \(#,##0.00\);_(&quot;$&quot;* &quot;-&quot;??_);_(@_)"/>
    <numFmt numFmtId="43" formatCode="_(* #,##0.00_);_(* \(#,##0.00\);_(* &quot;-&quot;??_);_(@_)"/>
    <numFmt numFmtId="164" formatCode="_([$€-2]* #,##0.00_);_([$€-2]* \(#,##0.00\);_([$€-2]* &quot;-&quot;??_)"/>
    <numFmt numFmtId="165" formatCode="0.0%"/>
    <numFmt numFmtId="166" formatCode="[$€-2]\ #,##0.0000"/>
    <numFmt numFmtId="167" formatCode="0.00&quot; mm&quot;"/>
    <numFmt numFmtId="168" formatCode="0.000&quot; m³&quot;"/>
    <numFmt numFmtId="169" formatCode="0&quot; Gal&quot;"/>
    <numFmt numFmtId="170" formatCode="0.000&quot; SCF&quot;"/>
    <numFmt numFmtId="171" formatCode="0&quot; nm³&quot;"/>
    <numFmt numFmtId="172" formatCode="0&quot; inch&quot;"/>
    <numFmt numFmtId="173" formatCode="0.000&quot; L&quot;"/>
    <numFmt numFmtId="174" formatCode="0.0E+00&quot; l/hr/mm&quot;"/>
    <numFmt numFmtId="175" formatCode="0.0E+00&quot; gpm/inch&quot;"/>
    <numFmt numFmtId="176" formatCode="0&quot; GPM&quot;"/>
    <numFmt numFmtId="177" formatCode="0.000&quot; l/hr&quot;"/>
    <numFmt numFmtId="178" formatCode="[$$-409]#,##0"/>
    <numFmt numFmtId="179" formatCode="0.0\ &quot;ml/hr&quot;"/>
    <numFmt numFmtId="180" formatCode="0&quot; ft³&quot;"/>
    <numFmt numFmtId="181" formatCode="0&quot; kW&quot;"/>
    <numFmt numFmtId="182" formatCode="0&quot; BTU/hr&quot;"/>
    <numFmt numFmtId="183" formatCode="&quot;$&quot;#,##0.00"/>
    <numFmt numFmtId="184" formatCode="0.0"/>
    <numFmt numFmtId="185" formatCode="0.000"/>
    <numFmt numFmtId="186" formatCode="0.000&quot; kW&quot;"/>
    <numFmt numFmtId="187" formatCode="0.000&quot; HP&quot;"/>
    <numFmt numFmtId="188" formatCode="0&quot; m³/s&quot;"/>
    <numFmt numFmtId="189" formatCode="0.0&quot; GPM&quot;"/>
    <numFmt numFmtId="190" formatCode="0.00000&quot; kPa&quot;"/>
    <numFmt numFmtId="191" formatCode="0&quot; psi&quot;"/>
    <numFmt numFmtId="192" formatCode="0&quot; bar&quot;"/>
    <numFmt numFmtId="193" formatCode="0.00&quot; psi&quot;"/>
    <numFmt numFmtId="194" formatCode="0&quot; HP&quot;"/>
    <numFmt numFmtId="195" formatCode="0.0000&quot; kW&quot;"/>
    <numFmt numFmtId="196" formatCode="0&quot; BTU/hr·inch·°R&quot;"/>
    <numFmt numFmtId="197" formatCode="0.00000&quot; kW/mm·°K&quot;"/>
    <numFmt numFmtId="198" formatCode="0&quot; kg&quot;"/>
    <numFmt numFmtId="199" formatCode="0.00000&quot; lb&quot;"/>
    <numFmt numFmtId="200" formatCode="0.00000&quot; kg/kWh&quot;"/>
    <numFmt numFmtId="201" formatCode="0.00000&quot; lb/kWh&quot;"/>
    <numFmt numFmtId="202" formatCode="0.000&quot; ml/hr/mm&quot;"/>
    <numFmt numFmtId="203" formatCode="mmmm\-yyyy"/>
    <numFmt numFmtId="204" formatCode="0&quot; in³&quot;"/>
    <numFmt numFmtId="205" formatCode="0.0000&quot; ml&quot;"/>
  </numFmts>
  <fonts count="65" x14ac:knownFonts="1">
    <font>
      <sz val="10"/>
      <name val="Arial"/>
    </font>
    <font>
      <sz val="10"/>
      <name val="Arial"/>
      <family val="2"/>
    </font>
    <font>
      <sz val="8"/>
      <name val="Arial"/>
      <family val="2"/>
    </font>
    <font>
      <sz val="11"/>
      <name val="Tahoma"/>
      <family val="2"/>
    </font>
    <font>
      <b/>
      <sz val="11"/>
      <name val="Tahoma"/>
      <family val="2"/>
    </font>
    <font>
      <b/>
      <sz val="24"/>
      <name val="Tahoma"/>
      <family val="2"/>
    </font>
    <font>
      <b/>
      <sz val="14"/>
      <name val="Tahoma"/>
      <family val="2"/>
    </font>
    <font>
      <b/>
      <sz val="11"/>
      <color indexed="62"/>
      <name val="Tahoma"/>
      <family val="2"/>
    </font>
    <font>
      <sz val="11"/>
      <color indexed="55"/>
      <name val="Tahoma"/>
      <family val="2"/>
    </font>
    <font>
      <b/>
      <sz val="8"/>
      <color indexed="81"/>
      <name val="Tahoma"/>
      <family val="2"/>
    </font>
    <font>
      <sz val="8"/>
      <color indexed="81"/>
      <name val="Tahoma"/>
      <family val="2"/>
    </font>
    <font>
      <b/>
      <sz val="11"/>
      <color indexed="55"/>
      <name val="Tahoma"/>
      <family val="2"/>
    </font>
    <font>
      <sz val="10"/>
      <name val="Arial"/>
      <family val="2"/>
    </font>
    <font>
      <b/>
      <sz val="10"/>
      <name val="Tahoma"/>
      <family val="2"/>
    </font>
    <font>
      <b/>
      <vertAlign val="subscript"/>
      <sz val="11"/>
      <name val="Tahoma"/>
      <family val="2"/>
    </font>
    <font>
      <vertAlign val="subscript"/>
      <sz val="11"/>
      <name val="Tahoma"/>
      <family val="2"/>
    </font>
    <font>
      <b/>
      <sz val="20"/>
      <name val="Tahoma"/>
      <family val="2"/>
    </font>
    <font>
      <sz val="12"/>
      <name val="Tahoma"/>
      <family val="2"/>
    </font>
    <font>
      <b/>
      <sz val="12"/>
      <color indexed="62"/>
      <name val="Tahoma"/>
      <family val="2"/>
    </font>
    <font>
      <sz val="11"/>
      <name val="Arial"/>
      <family val="2"/>
    </font>
    <font>
      <vertAlign val="subscript"/>
      <sz val="11"/>
      <name val="Arial"/>
      <family val="2"/>
    </font>
    <font>
      <sz val="11"/>
      <name val="Symbol"/>
      <family val="1"/>
      <charset val="2"/>
    </font>
    <font>
      <b/>
      <sz val="11"/>
      <color indexed="56"/>
      <name val="Tahoma"/>
      <family val="2"/>
    </font>
    <font>
      <b/>
      <sz val="10"/>
      <name val="Arial"/>
      <family val="2"/>
    </font>
    <font>
      <vertAlign val="subscript"/>
      <sz val="10"/>
      <name val="Arial"/>
      <family val="2"/>
    </font>
    <font>
      <b/>
      <sz val="11"/>
      <color indexed="62"/>
      <name val="Arial"/>
      <family val="2"/>
    </font>
    <font>
      <b/>
      <vertAlign val="subscript"/>
      <sz val="12"/>
      <color indexed="62"/>
      <name val="Tahoma"/>
      <family val="2"/>
    </font>
    <font>
      <b/>
      <sz val="10"/>
      <color indexed="81"/>
      <name val="Tahoma"/>
      <family val="2"/>
    </font>
    <font>
      <b/>
      <sz val="12"/>
      <color indexed="18"/>
      <name val="Tahoma"/>
      <family val="2"/>
    </font>
    <font>
      <b/>
      <vertAlign val="subscript"/>
      <sz val="11"/>
      <color indexed="62"/>
      <name val="Tahoma"/>
      <family val="2"/>
    </font>
    <font>
      <sz val="11"/>
      <color indexed="8"/>
      <name val="Tahoma"/>
      <family val="2"/>
    </font>
    <font>
      <b/>
      <sz val="16"/>
      <name val="Tahoma"/>
      <family val="2"/>
    </font>
    <font>
      <sz val="16"/>
      <name val="Tahoma"/>
      <family val="2"/>
    </font>
    <font>
      <b/>
      <u/>
      <sz val="11"/>
      <name val="Tahoma"/>
      <family val="2"/>
    </font>
    <font>
      <sz val="11"/>
      <color indexed="55"/>
      <name val="Tahoma"/>
      <family val="2"/>
    </font>
    <font>
      <sz val="11"/>
      <color indexed="9"/>
      <name val="Tahoma"/>
      <family val="2"/>
    </font>
    <font>
      <b/>
      <sz val="16"/>
      <color indexed="8"/>
      <name val="Tahoma"/>
      <family val="2"/>
    </font>
    <font>
      <sz val="10"/>
      <color indexed="23"/>
      <name val="Arial"/>
      <family val="2"/>
    </font>
    <font>
      <b/>
      <sz val="10"/>
      <color indexed="23"/>
      <name val="Arial"/>
      <family val="2"/>
    </font>
    <font>
      <sz val="10"/>
      <color indexed="60"/>
      <name val="Arial"/>
      <family val="2"/>
    </font>
    <font>
      <sz val="11"/>
      <color indexed="63"/>
      <name val="Tahoma"/>
      <family val="2"/>
    </font>
    <font>
      <sz val="11"/>
      <color indexed="8"/>
      <name val="Tahoma"/>
      <family val="2"/>
    </font>
    <font>
      <b/>
      <sz val="11"/>
      <color indexed="8"/>
      <name val="Tahoma"/>
      <family val="2"/>
    </font>
    <font>
      <b/>
      <sz val="11"/>
      <color indexed="10"/>
      <name val="Arial"/>
      <family val="2"/>
    </font>
    <font>
      <sz val="10"/>
      <color indexed="55"/>
      <name val="Arial"/>
      <family val="2"/>
    </font>
    <font>
      <b/>
      <sz val="10"/>
      <color indexed="10"/>
      <name val="Arial"/>
      <family val="2"/>
    </font>
    <font>
      <sz val="11"/>
      <color indexed="55"/>
      <name val="Tahoma"/>
      <family val="2"/>
    </font>
    <font>
      <sz val="11"/>
      <color indexed="55"/>
      <name val="Tahoma"/>
      <family val="2"/>
    </font>
    <font>
      <b/>
      <sz val="11"/>
      <color indexed="10"/>
      <name val="Tahoma"/>
      <family val="2"/>
    </font>
    <font>
      <sz val="11"/>
      <name val="Wingdings 2"/>
      <family val="1"/>
      <charset val="2"/>
    </font>
    <font>
      <b/>
      <sz val="12"/>
      <name val="Tahoma"/>
      <family val="2"/>
    </font>
    <font>
      <b/>
      <sz val="11"/>
      <color indexed="8"/>
      <name val="Calibri"/>
      <family val="2"/>
    </font>
    <font>
      <sz val="11"/>
      <color indexed="8"/>
      <name val="Tahoma"/>
      <family val="2"/>
    </font>
    <font>
      <b/>
      <sz val="14"/>
      <color indexed="8"/>
      <name val="Calibri"/>
      <family val="2"/>
    </font>
    <font>
      <sz val="8"/>
      <name val="Arial"/>
      <family val="2"/>
    </font>
    <font>
      <b/>
      <sz val="11"/>
      <color indexed="8"/>
      <name val="Arial"/>
      <family val="2"/>
    </font>
    <font>
      <b/>
      <sz val="11"/>
      <color indexed="9"/>
      <name val="Arial"/>
      <family val="2"/>
    </font>
    <font>
      <sz val="11"/>
      <color indexed="55"/>
      <name val="Arial"/>
      <family val="2"/>
    </font>
    <font>
      <b/>
      <sz val="10"/>
      <color indexed="8"/>
      <name val="Calibri"/>
      <family val="2"/>
    </font>
    <font>
      <sz val="10"/>
      <color indexed="8"/>
      <name val="Arial"/>
      <family val="2"/>
    </font>
    <font>
      <vertAlign val="subscript"/>
      <sz val="10"/>
      <color indexed="8"/>
      <name val="Arial"/>
      <family val="2"/>
    </font>
    <font>
      <b/>
      <sz val="18"/>
      <name val="Arial"/>
      <family val="2"/>
    </font>
    <font>
      <sz val="11"/>
      <name val="Times New Roman"/>
      <family val="1"/>
    </font>
    <font>
      <sz val="10"/>
      <name val="Tahoma"/>
      <family val="2"/>
    </font>
    <font>
      <sz val="11"/>
      <color theme="0" tint="-0.34998626667073579"/>
      <name val="Tahoma"/>
      <family val="2"/>
    </font>
  </fonts>
  <fills count="15">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50"/>
        <bgColor indexed="64"/>
      </patternFill>
    </fill>
    <fill>
      <patternFill patternType="solid">
        <fgColor indexed="10"/>
        <bgColor indexed="64"/>
      </patternFill>
    </fill>
    <fill>
      <patternFill patternType="solid">
        <fgColor indexed="51"/>
        <bgColor indexed="64"/>
      </patternFill>
    </fill>
    <fill>
      <patternFill patternType="solid">
        <fgColor indexed="47"/>
        <bgColor indexed="64"/>
      </patternFill>
    </fill>
    <fill>
      <patternFill patternType="solid">
        <fgColor rgb="FF92D050"/>
        <bgColor indexed="64"/>
      </patternFill>
    </fill>
    <fill>
      <patternFill patternType="solid">
        <fgColor theme="0" tint="-0.24994659260841701"/>
        <bgColor indexed="64"/>
      </patternFill>
    </fill>
    <fill>
      <patternFill patternType="solid">
        <fgColor theme="7" tint="0.399975585192419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thin">
        <color indexed="22"/>
      </left>
      <right style="thick">
        <color indexed="18"/>
      </right>
      <top/>
      <bottom style="thick">
        <color indexed="18"/>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64"/>
      </right>
      <top style="thin">
        <color indexed="55"/>
      </top>
      <bottom style="thin">
        <color indexed="8"/>
      </bottom>
      <diagonal/>
    </border>
    <border>
      <left/>
      <right/>
      <top style="thin">
        <color indexed="55"/>
      </top>
      <bottom style="thin">
        <color indexed="8"/>
      </bottom>
      <diagonal/>
    </border>
    <border>
      <left/>
      <right style="thin">
        <color indexed="8"/>
      </right>
      <top style="thin">
        <color indexed="55"/>
      </top>
      <bottom style="thin">
        <color indexed="8"/>
      </bottom>
      <diagonal/>
    </border>
    <border>
      <left/>
      <right/>
      <top/>
      <bottom style="medium">
        <color indexed="23"/>
      </bottom>
      <diagonal/>
    </border>
    <border>
      <left style="thin">
        <color indexed="64"/>
      </left>
      <right style="thin">
        <color indexed="64"/>
      </right>
      <top style="thin">
        <color indexed="64"/>
      </top>
      <bottom style="thin">
        <color indexed="64"/>
      </bottom>
      <diagonal/>
    </border>
    <border>
      <left/>
      <right style="thick">
        <color indexed="23"/>
      </right>
      <top/>
      <bottom/>
      <diagonal/>
    </border>
    <border>
      <left style="thick">
        <color indexed="23"/>
      </left>
      <right/>
      <top/>
      <bottom/>
      <diagonal/>
    </border>
    <border>
      <left style="thin">
        <color indexed="55"/>
      </left>
      <right style="thin">
        <color indexed="55"/>
      </right>
      <top style="thin">
        <color indexed="55"/>
      </top>
      <bottom style="thin">
        <color indexed="55"/>
      </bottom>
      <diagonal/>
    </border>
    <border>
      <left/>
      <right/>
      <top/>
      <bottom style="medium">
        <color indexed="55"/>
      </bottom>
      <diagonal/>
    </border>
    <border>
      <left/>
      <right/>
      <top style="medium">
        <color indexed="55"/>
      </top>
      <bottom/>
      <diagonal/>
    </border>
    <border>
      <left/>
      <right/>
      <top/>
      <bottom style="thin">
        <color indexed="23"/>
      </bottom>
      <diagonal/>
    </border>
    <border>
      <left style="thin">
        <color indexed="22"/>
      </left>
      <right/>
      <top style="thin">
        <color indexed="22"/>
      </top>
      <bottom style="thick">
        <color indexed="54"/>
      </bottom>
      <diagonal/>
    </border>
    <border>
      <left/>
      <right/>
      <top style="thin">
        <color indexed="22"/>
      </top>
      <bottom style="thick">
        <color indexed="54"/>
      </bottom>
      <diagonal/>
    </border>
    <border>
      <left/>
      <right style="thick">
        <color indexed="54"/>
      </right>
      <top style="thin">
        <color indexed="22"/>
      </top>
      <bottom style="thick">
        <color indexed="54"/>
      </bottom>
      <diagonal/>
    </border>
    <border>
      <left style="thin">
        <color indexed="22"/>
      </left>
      <right style="thick">
        <color indexed="54"/>
      </right>
      <top style="thin">
        <color indexed="22"/>
      </top>
      <bottom style="thick">
        <color indexed="54"/>
      </bottom>
      <diagonal/>
    </border>
    <border>
      <left style="thin">
        <color indexed="55"/>
      </left>
      <right style="thin">
        <color indexed="8"/>
      </right>
      <top style="thin">
        <color indexed="55"/>
      </top>
      <bottom style="thin">
        <color indexed="8"/>
      </bottom>
      <diagonal/>
    </border>
    <border>
      <left/>
      <right/>
      <top style="thin">
        <color indexed="23"/>
      </top>
      <bottom style="thin">
        <color indexed="23"/>
      </bottom>
      <diagonal/>
    </border>
    <border>
      <left style="thin">
        <color indexed="55"/>
      </left>
      <right style="thin">
        <color indexed="64"/>
      </right>
      <top style="thin">
        <color indexed="55"/>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style="thin">
        <color indexed="23"/>
      </right>
      <top/>
      <bottom style="thin">
        <color indexed="23"/>
      </bottom>
      <diagonal/>
    </border>
    <border>
      <left/>
      <right/>
      <top style="thin">
        <color indexed="64"/>
      </top>
      <bottom style="thin">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theme="0" tint="-0.499984740745262"/>
      </left>
      <right/>
      <top/>
      <bottom/>
      <diagonal/>
    </border>
    <border>
      <left/>
      <right/>
      <top/>
      <bottom style="medium">
        <color theme="0" tint="-0.499984740745262"/>
      </bottom>
      <diagonal/>
    </border>
    <border>
      <left/>
      <right/>
      <top style="medium">
        <color theme="0" tint="-0.499984740745262"/>
      </top>
      <bottom/>
      <diagonal/>
    </border>
    <border>
      <left style="thin">
        <color indexed="55"/>
      </left>
      <right style="thin">
        <color theme="1"/>
      </right>
      <top style="thin">
        <color indexed="55"/>
      </top>
      <bottom style="thin">
        <color theme="1"/>
      </bottom>
      <diagonal/>
    </border>
    <border>
      <left style="thin">
        <color indexed="64"/>
      </left>
      <right style="thin">
        <color indexed="64"/>
      </right>
      <top/>
      <bottom style="thin">
        <color indexed="64"/>
      </bottom>
      <diagonal/>
    </border>
  </borders>
  <cellStyleXfs count="9">
    <xf numFmtId="0" fontId="0" fillId="0" borderId="0"/>
    <xf numFmtId="43" fontId="1" fillId="0" borderId="0" applyNumberFormat="0" applyFont="0" applyFill="0" applyAlignment="0" applyProtection="0"/>
    <xf numFmtId="43" fontId="12" fillId="0" borderId="0" applyNumberFormat="0" applyFont="0" applyFill="0" applyAlignment="0" applyProtection="0"/>
    <xf numFmtId="4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0" fontId="12" fillId="0" borderId="0"/>
    <xf numFmtId="9" fontId="1" fillId="0" borderId="0" applyFont="0" applyFill="0" applyBorder="0" applyAlignment="0" applyProtection="0"/>
    <xf numFmtId="9" fontId="12" fillId="0" borderId="0" applyFont="0" applyFill="0" applyBorder="0" applyAlignment="0" applyProtection="0"/>
  </cellStyleXfs>
  <cellXfs count="408">
    <xf numFmtId="0" fontId="0" fillId="0" borderId="0" xfId="0"/>
    <xf numFmtId="0" fontId="3" fillId="2" borderId="0" xfId="0" applyFont="1" applyFill="1" applyAlignment="1">
      <alignment vertical="center"/>
    </xf>
    <xf numFmtId="0" fontId="4" fillId="3" borderId="2" xfId="0" applyFont="1" applyFill="1" applyBorder="1" applyAlignment="1" applyProtection="1">
      <alignment horizontal="center" vertical="center" wrapText="1"/>
      <protection locked="0"/>
    </xf>
    <xf numFmtId="0" fontId="3" fillId="0" borderId="0" xfId="0" applyFont="1" applyBorder="1" applyAlignment="1">
      <alignment vertical="center"/>
    </xf>
    <xf numFmtId="0" fontId="25" fillId="0" borderId="0" xfId="0" applyFont="1" applyAlignment="1">
      <alignment vertical="center"/>
    </xf>
    <xf numFmtId="0" fontId="12" fillId="4" borderId="3" xfId="0" applyFont="1" applyFill="1" applyBorder="1" applyAlignment="1">
      <alignment vertical="center"/>
    </xf>
    <xf numFmtId="0" fontId="12" fillId="4" borderId="4" xfId="0" applyFont="1" applyFill="1" applyBorder="1" applyAlignment="1">
      <alignment vertical="center"/>
    </xf>
    <xf numFmtId="0" fontId="12" fillId="0" borderId="0" xfId="0" applyFont="1" applyFill="1" applyAlignment="1">
      <alignment vertical="center"/>
    </xf>
    <xf numFmtId="0" fontId="12" fillId="0" borderId="0" xfId="0" quotePrefix="1" applyFont="1" applyAlignment="1">
      <alignment vertical="center"/>
    </xf>
    <xf numFmtId="0" fontId="12" fillId="0" borderId="0" xfId="0" applyFont="1" applyAlignment="1">
      <alignment horizontal="left" vertical="center"/>
    </xf>
    <xf numFmtId="165" fontId="23" fillId="5" borderId="5" xfId="7" applyNumberFormat="1" applyFont="1" applyFill="1" applyBorder="1" applyAlignment="1">
      <alignment horizontal="left" vertical="center"/>
    </xf>
    <xf numFmtId="0" fontId="23" fillId="5" borderId="6" xfId="0" applyFont="1" applyFill="1" applyBorder="1" applyAlignment="1">
      <alignment horizontal="left" vertical="center"/>
    </xf>
    <xf numFmtId="0" fontId="23" fillId="5" borderId="7" xfId="0" applyFont="1" applyFill="1" applyBorder="1" applyAlignment="1">
      <alignment horizontal="left" vertical="center"/>
    </xf>
    <xf numFmtId="0" fontId="23" fillId="0" borderId="0" xfId="0" applyFont="1" applyAlignment="1">
      <alignment vertical="center"/>
    </xf>
    <xf numFmtId="0" fontId="12" fillId="0" borderId="0" xfId="0" applyFont="1" applyAlignment="1">
      <alignment vertical="center"/>
    </xf>
    <xf numFmtId="2" fontId="37" fillId="0" borderId="3" xfId="0" applyNumberFormat="1" applyFont="1" applyBorder="1" applyAlignment="1">
      <alignment horizontal="right" vertical="center"/>
    </xf>
    <xf numFmtId="184" fontId="37" fillId="0" borderId="3" xfId="0" applyNumberFormat="1" applyFont="1" applyBorder="1" applyAlignment="1">
      <alignment horizontal="right" vertical="center"/>
    </xf>
    <xf numFmtId="185" fontId="37" fillId="0" borderId="3" xfId="0" applyNumberFormat="1" applyFont="1" applyBorder="1" applyAlignment="1">
      <alignment horizontal="right" vertical="center"/>
    </xf>
    <xf numFmtId="0" fontId="37" fillId="0" borderId="3" xfId="0" applyFont="1" applyBorder="1" applyAlignment="1">
      <alignment horizontal="right" vertical="center"/>
    </xf>
    <xf numFmtId="0" fontId="37" fillId="0" borderId="4" xfId="0" applyFont="1" applyBorder="1" applyAlignment="1">
      <alignment horizontal="left" vertical="center" indent="1"/>
    </xf>
    <xf numFmtId="0" fontId="23" fillId="0" borderId="0" xfId="0" applyFont="1" applyAlignment="1">
      <alignment horizontal="left" vertical="center" indent="1"/>
    </xf>
    <xf numFmtId="0" fontId="12" fillId="0" borderId="4" xfId="0" applyFont="1" applyBorder="1" applyAlignment="1">
      <alignment vertical="center"/>
    </xf>
    <xf numFmtId="0" fontId="38" fillId="0" borderId="3" xfId="0" applyNumberFormat="1" applyFont="1" applyBorder="1" applyAlignment="1">
      <alignment horizontal="left" vertical="center" indent="1"/>
    </xf>
    <xf numFmtId="0" fontId="37" fillId="0" borderId="3" xfId="0" applyNumberFormat="1" applyFont="1" applyBorder="1" applyAlignment="1">
      <alignment horizontal="right" vertical="center"/>
    </xf>
    <xf numFmtId="0" fontId="39" fillId="0" borderId="0" xfId="0" applyFont="1" applyAlignment="1">
      <alignment vertical="center"/>
    </xf>
    <xf numFmtId="0" fontId="12" fillId="0" borderId="8" xfId="0" applyFont="1" applyBorder="1" applyAlignment="1">
      <alignment vertical="center"/>
    </xf>
    <xf numFmtId="0" fontId="3" fillId="0" borderId="8" xfId="0" applyFont="1" applyBorder="1" applyAlignment="1">
      <alignment vertical="center"/>
    </xf>
    <xf numFmtId="0" fontId="12" fillId="0" borderId="0" xfId="0" applyFont="1"/>
    <xf numFmtId="0" fontId="16" fillId="0" borderId="0" xfId="6" applyFont="1" applyBorder="1"/>
    <xf numFmtId="0" fontId="0" fillId="0" borderId="0" xfId="0" applyFill="1"/>
    <xf numFmtId="0" fontId="28" fillId="0" borderId="0" xfId="0" applyFont="1" applyFill="1" applyBorder="1" applyAlignment="1">
      <alignment horizontal="left"/>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wrapText="1" indent="1"/>
    </xf>
    <xf numFmtId="0" fontId="0" fillId="0" borderId="0" xfId="0" applyAlignment="1">
      <alignment horizontal="left" vertical="top" wrapText="1"/>
    </xf>
    <xf numFmtId="0" fontId="4" fillId="0" borderId="0" xfId="0" applyFont="1" applyFill="1" applyBorder="1" applyAlignment="1">
      <alignment horizontal="left" vertical="top" wrapText="1" indent="5"/>
    </xf>
    <xf numFmtId="0" fontId="7" fillId="0" borderId="0" xfId="0" applyFont="1" applyFill="1" applyBorder="1" applyAlignment="1">
      <alignment horizontal="left"/>
    </xf>
    <xf numFmtId="0" fontId="43" fillId="0" borderId="0" xfId="0" applyFont="1" applyAlignment="1">
      <alignment vertical="center"/>
    </xf>
    <xf numFmtId="0" fontId="44" fillId="0" borderId="8" xfId="0" applyFont="1" applyBorder="1" applyAlignment="1">
      <alignment horizontal="center" vertical="center"/>
    </xf>
    <xf numFmtId="0" fontId="31" fillId="0" borderId="0" xfId="6" applyFont="1" applyBorder="1"/>
    <xf numFmtId="0" fontId="32" fillId="0" borderId="0" xfId="6" applyFont="1" applyBorder="1"/>
    <xf numFmtId="0" fontId="45" fillId="0" borderId="0" xfId="0" applyFont="1"/>
    <xf numFmtId="186" fontId="0" fillId="0" borderId="9" xfId="0" applyNumberFormat="1" applyBorder="1" applyAlignment="1">
      <alignment horizontal="center"/>
    </xf>
    <xf numFmtId="0" fontId="0" fillId="0" borderId="9" xfId="0" applyBorder="1" applyAlignment="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right" vertical="center" indent="1"/>
    </xf>
    <xf numFmtId="0" fontId="3" fillId="0" borderId="0" xfId="0" applyFont="1" applyAlignment="1" applyProtection="1">
      <alignment horizontal="left" vertical="center"/>
    </xf>
    <xf numFmtId="0" fontId="4" fillId="0" borderId="0" xfId="0" applyFont="1" applyAlignment="1" applyProtection="1">
      <alignment horizontal="right" vertical="center"/>
    </xf>
    <xf numFmtId="0" fontId="3" fillId="0" borderId="0" xfId="0" applyFont="1" applyAlignment="1" applyProtection="1">
      <alignment horizontal="center"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3" fillId="0" borderId="0" xfId="0" applyFont="1" applyFill="1" applyAlignment="1" applyProtection="1">
      <alignment vertical="center"/>
    </xf>
    <xf numFmtId="0" fontId="3" fillId="0" borderId="0" xfId="0" applyFont="1" applyFill="1" applyAlignment="1" applyProtection="1">
      <alignment horizontal="right" vertical="center"/>
    </xf>
    <xf numFmtId="0" fontId="5" fillId="0" borderId="0" xfId="0" applyFont="1" applyBorder="1" applyAlignment="1" applyProtection="1">
      <alignment horizontal="left" vertical="center"/>
    </xf>
    <xf numFmtId="0" fontId="4" fillId="0" borderId="0" xfId="0" applyFont="1" applyAlignment="1" applyProtection="1">
      <alignment horizontal="left" vertical="center"/>
    </xf>
    <xf numFmtId="0" fontId="40" fillId="0" borderId="0" xfId="0" applyFont="1" applyAlignment="1" applyProtection="1">
      <alignment vertical="center"/>
    </xf>
    <xf numFmtId="0" fontId="6" fillId="0" borderId="0" xfId="0" applyFont="1" applyAlignment="1" applyProtection="1">
      <alignment horizontal="left" vertical="center"/>
    </xf>
    <xf numFmtId="0" fontId="7" fillId="0" borderId="0" xfId="0" applyFont="1" applyAlignment="1" applyProtection="1">
      <alignment vertical="center"/>
    </xf>
    <xf numFmtId="175" fontId="34" fillId="0" borderId="0" xfId="0" applyNumberFormat="1" applyFont="1" applyBorder="1" applyAlignment="1" applyProtection="1">
      <alignment horizontal="left" vertical="center"/>
    </xf>
    <xf numFmtId="0" fontId="3" fillId="0" borderId="0" xfId="0" applyFont="1" applyAlignment="1" applyProtection="1">
      <alignment horizontal="right" vertical="center"/>
    </xf>
    <xf numFmtId="166" fontId="3" fillId="0" borderId="0" xfId="0" applyNumberFormat="1" applyFont="1" applyBorder="1" applyAlignment="1" applyProtection="1">
      <alignment horizontal="left" vertical="center"/>
    </xf>
    <xf numFmtId="174" fontId="3" fillId="0" borderId="0" xfId="0" applyNumberFormat="1" applyFont="1" applyBorder="1" applyAlignment="1" applyProtection="1">
      <alignment horizontal="right" vertical="center"/>
    </xf>
    <xf numFmtId="175" fontId="3" fillId="0" borderId="0" xfId="0" applyNumberFormat="1" applyFont="1" applyBorder="1" applyAlignment="1" applyProtection="1">
      <alignment horizontal="right" vertical="center"/>
    </xf>
    <xf numFmtId="0" fontId="3" fillId="2" borderId="0" xfId="0" applyFont="1" applyFill="1" applyAlignment="1" applyProtection="1">
      <alignment vertical="center"/>
    </xf>
    <xf numFmtId="0" fontId="7" fillId="0" borderId="0" xfId="0" applyFont="1" applyAlignment="1" applyProtection="1">
      <alignment horizontal="left" vertical="center"/>
    </xf>
    <xf numFmtId="0" fontId="42" fillId="0" borderId="0" xfId="0" applyFont="1" applyAlignment="1" applyProtection="1">
      <alignment vertical="center"/>
    </xf>
    <xf numFmtId="0" fontId="3" fillId="0" borderId="0" xfId="0" applyFont="1" applyBorder="1" applyAlignment="1" applyProtection="1">
      <alignment vertical="center"/>
    </xf>
    <xf numFmtId="0" fontId="8" fillId="0" borderId="12" xfId="0" applyNumberFormat="1" applyFont="1" applyFill="1" applyBorder="1" applyAlignment="1" applyProtection="1">
      <alignment horizontal="center" vertical="center"/>
    </xf>
    <xf numFmtId="0" fontId="3" fillId="0" borderId="11" xfId="0" applyFont="1" applyFill="1" applyBorder="1" applyAlignment="1" applyProtection="1">
      <alignment vertical="center"/>
    </xf>
    <xf numFmtId="0" fontId="3" fillId="0" borderId="13" xfId="0" applyFont="1" applyBorder="1" applyAlignment="1" applyProtection="1">
      <alignment vertical="center"/>
    </xf>
    <xf numFmtId="0" fontId="3" fillId="0" borderId="13" xfId="0" applyFont="1" applyBorder="1" applyAlignment="1" applyProtection="1">
      <alignment horizontal="right" vertical="center" indent="1"/>
    </xf>
    <xf numFmtId="0" fontId="3" fillId="0" borderId="13" xfId="0" applyFont="1" applyBorder="1" applyAlignment="1" applyProtection="1">
      <alignment horizontal="left" vertical="center"/>
    </xf>
    <xf numFmtId="0" fontId="4" fillId="0" borderId="13" xfId="0" applyFont="1" applyBorder="1" applyAlignment="1" applyProtection="1">
      <alignment horizontal="right" vertical="center"/>
    </xf>
    <xf numFmtId="0" fontId="3" fillId="0" borderId="13" xfId="0" applyFont="1" applyBorder="1" applyAlignment="1" applyProtection="1">
      <alignment horizontal="center" vertical="center"/>
    </xf>
    <xf numFmtId="0" fontId="7" fillId="0" borderId="14" xfId="0" applyFont="1" applyBorder="1" applyAlignment="1" applyProtection="1">
      <alignment vertical="center"/>
    </xf>
    <xf numFmtId="0" fontId="3" fillId="0" borderId="14" xfId="0" applyFont="1" applyBorder="1" applyAlignment="1" applyProtection="1">
      <alignment vertical="center"/>
    </xf>
    <xf numFmtId="0" fontId="7" fillId="0" borderId="14" xfId="0" applyFont="1" applyBorder="1" applyAlignment="1" applyProtection="1">
      <alignment horizontal="right" vertical="center" indent="1"/>
    </xf>
    <xf numFmtId="0" fontId="7" fillId="0" borderId="14" xfId="0" applyFont="1" applyBorder="1" applyAlignment="1" applyProtection="1">
      <alignment horizontal="left" vertical="center"/>
    </xf>
    <xf numFmtId="0" fontId="4" fillId="0" borderId="14" xfId="0" applyFont="1" applyBorder="1" applyAlignment="1" applyProtection="1">
      <alignment horizontal="right" vertical="center"/>
    </xf>
    <xf numFmtId="0" fontId="3" fillId="0" borderId="14" xfId="0" quotePrefix="1" applyFont="1" applyBorder="1" applyAlignment="1" applyProtection="1">
      <alignment horizontal="center" vertical="center"/>
    </xf>
    <xf numFmtId="0" fontId="3" fillId="0" borderId="14" xfId="0" applyFont="1" applyBorder="1" applyAlignment="1" applyProtection="1">
      <alignment horizontal="center" vertical="center"/>
    </xf>
    <xf numFmtId="0" fontId="41" fillId="0" borderId="15" xfId="0" applyFont="1" applyBorder="1" applyAlignment="1" applyProtection="1">
      <alignment vertical="center"/>
    </xf>
    <xf numFmtId="0" fontId="41" fillId="0" borderId="0" xfId="0" applyFont="1" applyAlignment="1" applyProtection="1">
      <alignment vertical="center"/>
    </xf>
    <xf numFmtId="0" fontId="3" fillId="0" borderId="0" xfId="0" quotePrefix="1" applyFont="1" applyAlignment="1" applyProtection="1">
      <alignment horizontal="center" vertical="center"/>
    </xf>
    <xf numFmtId="0" fontId="3" fillId="0" borderId="10" xfId="0" applyFont="1" applyFill="1" applyBorder="1" applyAlignment="1" applyProtection="1">
      <alignment vertical="center"/>
    </xf>
    <xf numFmtId="0" fontId="8" fillId="0" borderId="1" xfId="0" applyFont="1" applyFill="1" applyBorder="1" applyAlignment="1" applyProtection="1">
      <alignment horizontal="left" vertical="center"/>
    </xf>
    <xf numFmtId="0" fontId="3" fillId="0" borderId="0" xfId="0" applyFont="1" applyFill="1" applyBorder="1" applyAlignment="1" applyProtection="1">
      <alignment vertical="center"/>
    </xf>
    <xf numFmtId="165" fontId="8" fillId="0" borderId="12" xfId="0" applyNumberFormat="1" applyFont="1" applyFill="1" applyBorder="1" applyAlignment="1" applyProtection="1">
      <alignment horizontal="right" vertical="center"/>
    </xf>
    <xf numFmtId="0" fontId="8" fillId="0" borderId="10" xfId="0" applyFont="1" applyFill="1" applyBorder="1" applyAlignment="1" applyProtection="1">
      <alignment horizontal="left" vertical="center"/>
    </xf>
    <xf numFmtId="0" fontId="8" fillId="0" borderId="11" xfId="0" applyFont="1" applyFill="1" applyBorder="1" applyAlignment="1" applyProtection="1">
      <alignment vertical="center"/>
    </xf>
    <xf numFmtId="0" fontId="8" fillId="0" borderId="0" xfId="0" applyFont="1" applyFill="1" applyBorder="1" applyAlignment="1" applyProtection="1">
      <alignment horizontal="left" vertical="center"/>
    </xf>
    <xf numFmtId="0" fontId="8" fillId="0" borderId="3" xfId="0" applyNumberFormat="1" applyFont="1" applyFill="1" applyBorder="1" applyAlignment="1" applyProtection="1">
      <alignment horizontal="right" vertical="center"/>
    </xf>
    <xf numFmtId="0" fontId="8" fillId="0" borderId="4" xfId="0" applyFont="1" applyFill="1" applyBorder="1" applyAlignment="1" applyProtection="1">
      <alignment horizontal="left" vertical="center"/>
    </xf>
    <xf numFmtId="0" fontId="8" fillId="0" borderId="11" xfId="0" applyFont="1" applyFill="1" applyBorder="1" applyAlignment="1" applyProtection="1">
      <alignment horizontal="left" vertical="center"/>
    </xf>
    <xf numFmtId="0" fontId="41" fillId="0" borderId="0" xfId="0" applyFont="1" applyBorder="1" applyAlignment="1" applyProtection="1">
      <alignment vertical="center"/>
    </xf>
    <xf numFmtId="0" fontId="35" fillId="6" borderId="3" xfId="0" applyNumberFormat="1" applyFont="1" applyFill="1" applyBorder="1" applyAlignment="1" applyProtection="1">
      <alignment horizontal="right" vertical="center"/>
    </xf>
    <xf numFmtId="0" fontId="35" fillId="6" borderId="4" xfId="0" applyFont="1" applyFill="1" applyBorder="1" applyAlignment="1" applyProtection="1">
      <alignment horizontal="left" vertical="center"/>
    </xf>
    <xf numFmtId="0" fontId="3" fillId="0" borderId="0" xfId="0" applyFont="1" applyFill="1" applyAlignment="1" applyProtection="1">
      <alignment horizontal="right" vertical="center" indent="1"/>
    </xf>
    <xf numFmtId="0" fontId="3" fillId="0" borderId="0" xfId="0" applyFont="1" applyFill="1" applyAlignment="1" applyProtection="1">
      <alignment horizontal="left" vertical="center"/>
    </xf>
    <xf numFmtId="9" fontId="3" fillId="0" borderId="0" xfId="7" applyFont="1" applyFill="1" applyAlignment="1" applyProtection="1">
      <alignment horizontal="right" vertical="center" indent="1"/>
    </xf>
    <xf numFmtId="9" fontId="8" fillId="0" borderId="3" xfId="7" applyFont="1" applyFill="1" applyBorder="1" applyAlignment="1" applyProtection="1">
      <alignment horizontal="right" vertical="center"/>
    </xf>
    <xf numFmtId="0" fontId="3" fillId="0" borderId="0" xfId="0" applyNumberFormat="1" applyFont="1" applyFill="1" applyAlignment="1" applyProtection="1">
      <alignment horizontal="right" vertical="center" indent="1"/>
    </xf>
    <xf numFmtId="0" fontId="3" fillId="0" borderId="0" xfId="0" quotePrefix="1" applyFont="1" applyFill="1" applyAlignment="1" applyProtection="1">
      <alignment horizontal="left" vertical="center"/>
    </xf>
    <xf numFmtId="0" fontId="8" fillId="0" borderId="4" xfId="0" quotePrefix="1" applyFont="1" applyFill="1" applyBorder="1" applyAlignment="1" applyProtection="1">
      <alignment horizontal="left" vertical="center"/>
    </xf>
    <xf numFmtId="0" fontId="34" fillId="0" borderId="0" xfId="0" applyFont="1" applyAlignment="1" applyProtection="1">
      <alignment vertical="center"/>
    </xf>
    <xf numFmtId="0" fontId="4"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0" fontId="7" fillId="0" borderId="0" xfId="0" applyFont="1" applyBorder="1" applyAlignment="1" applyProtection="1">
      <alignment vertical="center"/>
    </xf>
    <xf numFmtId="0" fontId="4" fillId="0" borderId="0" xfId="0" applyFont="1" applyAlignment="1" applyProtection="1">
      <alignment vertical="center"/>
    </xf>
    <xf numFmtId="0" fontId="8" fillId="0" borderId="0" xfId="0" applyNumberFormat="1" applyFont="1" applyFill="1" applyBorder="1" applyAlignment="1" applyProtection="1">
      <alignment horizontal="right" vertical="center"/>
    </xf>
    <xf numFmtId="0" fontId="3" fillId="0" borderId="0" xfId="0" applyFont="1" applyBorder="1" applyAlignment="1" applyProtection="1">
      <alignment horizontal="right" vertical="center"/>
    </xf>
    <xf numFmtId="183" fontId="6" fillId="6" borderId="16" xfId="1" applyNumberFormat="1" applyFont="1" applyFill="1" applyBorder="1" applyAlignment="1" applyProtection="1">
      <alignment horizontal="center" vertical="center"/>
    </xf>
    <xf numFmtId="183" fontId="6" fillId="6" borderId="17" xfId="1" applyNumberFormat="1" applyFont="1" applyFill="1" applyBorder="1" applyAlignment="1" applyProtection="1">
      <alignment horizontal="center" vertical="center"/>
    </xf>
    <xf numFmtId="183" fontId="4" fillId="6" borderId="17" xfId="1" applyNumberFormat="1" applyFont="1" applyFill="1" applyBorder="1" applyAlignment="1" applyProtection="1">
      <alignment horizontal="right" vertical="center"/>
    </xf>
    <xf numFmtId="183" fontId="6" fillId="6" borderId="18" xfId="1" applyNumberFormat="1" applyFont="1" applyFill="1" applyBorder="1" applyAlignment="1" applyProtection="1">
      <alignment horizontal="right" vertical="center" indent="1"/>
    </xf>
    <xf numFmtId="183" fontId="13" fillId="0" borderId="19" xfId="1" applyNumberFormat="1" applyFont="1" applyFill="1" applyBorder="1" applyAlignment="1" applyProtection="1">
      <alignment horizontal="center" vertical="center"/>
    </xf>
    <xf numFmtId="3" fontId="4" fillId="4" borderId="20" xfId="0" applyNumberFormat="1" applyFont="1" applyFill="1" applyBorder="1" applyAlignment="1" applyProtection="1">
      <alignment horizontal="right" vertical="center"/>
    </xf>
    <xf numFmtId="0" fontId="41" fillId="0" borderId="21" xfId="0" applyFont="1" applyBorder="1" applyAlignment="1" applyProtection="1">
      <alignment vertical="center"/>
    </xf>
    <xf numFmtId="185" fontId="4" fillId="4" borderId="20" xfId="0" applyNumberFormat="1" applyFont="1" applyFill="1" applyBorder="1" applyAlignment="1" applyProtection="1">
      <alignment horizontal="right" vertical="center"/>
    </xf>
    <xf numFmtId="2" fontId="4" fillId="4" borderId="20" xfId="0" applyNumberFormat="1" applyFont="1" applyFill="1" applyBorder="1" applyAlignment="1" applyProtection="1">
      <alignment horizontal="right" vertical="center"/>
    </xf>
    <xf numFmtId="2" fontId="3" fillId="0" borderId="0" xfId="0" applyNumberFormat="1" applyFont="1" applyAlignment="1" applyProtection="1">
      <alignment horizontal="center" vertical="center"/>
    </xf>
    <xf numFmtId="0" fontId="36" fillId="0" borderId="0" xfId="0" applyFont="1" applyAlignment="1" applyProtection="1">
      <alignment vertical="center"/>
    </xf>
    <xf numFmtId="0" fontId="17" fillId="0" borderId="0" xfId="0" applyFont="1" applyAlignment="1" applyProtection="1">
      <alignment horizontal="right" vertical="center" indent="1"/>
    </xf>
    <xf numFmtId="165" fontId="4" fillId="3" borderId="22" xfId="7" applyNumberFormat="1" applyFont="1" applyFill="1" applyBorder="1" applyAlignment="1" applyProtection="1">
      <alignment horizontal="right" vertical="center"/>
      <protection locked="0"/>
    </xf>
    <xf numFmtId="0" fontId="4" fillId="3" borderId="22" xfId="0" applyFont="1" applyFill="1" applyBorder="1" applyAlignment="1" applyProtection="1">
      <alignment horizontal="right" vertical="center"/>
      <protection locked="0"/>
    </xf>
    <xf numFmtId="2" fontId="4" fillId="3" borderId="22" xfId="0" applyNumberFormat="1" applyFont="1" applyFill="1" applyBorder="1" applyAlignment="1" applyProtection="1">
      <alignment horizontal="right" vertical="center"/>
      <protection locked="0"/>
    </xf>
    <xf numFmtId="0" fontId="4" fillId="3" borderId="22" xfId="0" applyNumberFormat="1" applyFont="1" applyFill="1" applyBorder="1" applyAlignment="1" applyProtection="1">
      <alignment horizontal="right" vertical="center"/>
      <protection locked="0"/>
    </xf>
    <xf numFmtId="0" fontId="3" fillId="0" borderId="0" xfId="0" quotePrefix="1" applyNumberFormat="1" applyFont="1" applyAlignment="1" applyProtection="1">
      <alignment horizontal="center" vertical="center"/>
    </xf>
    <xf numFmtId="9" fontId="4" fillId="3" borderId="22" xfId="0" applyNumberFormat="1" applyFont="1" applyFill="1" applyBorder="1" applyAlignment="1" applyProtection="1">
      <alignment horizontal="right" vertical="center"/>
      <protection locked="0"/>
    </xf>
    <xf numFmtId="0" fontId="50" fillId="0" borderId="0" xfId="0" applyFont="1" applyAlignment="1" applyProtection="1">
      <alignment horizontal="center" vertical="center"/>
    </xf>
    <xf numFmtId="0" fontId="17" fillId="0" borderId="0" xfId="0" applyFont="1" applyAlignment="1" applyProtection="1">
      <alignment horizontal="center" vertical="center"/>
    </xf>
    <xf numFmtId="11" fontId="4" fillId="3" borderId="22" xfId="0" applyNumberFormat="1" applyFont="1" applyFill="1" applyBorder="1" applyAlignment="1" applyProtection="1">
      <alignment horizontal="right" vertical="center"/>
      <protection locked="0"/>
    </xf>
    <xf numFmtId="185" fontId="4" fillId="3" borderId="22" xfId="0" applyNumberFormat="1" applyFont="1" applyFill="1" applyBorder="1" applyAlignment="1" applyProtection="1">
      <alignment horizontal="right" vertical="center"/>
      <protection locked="0"/>
    </xf>
    <xf numFmtId="2" fontId="3" fillId="3" borderId="12" xfId="0" applyNumberFormat="1" applyFont="1" applyFill="1" applyBorder="1" applyAlignment="1" applyProtection="1">
      <alignment horizontal="left" vertical="center"/>
      <protection locked="0"/>
    </xf>
    <xf numFmtId="2" fontId="3" fillId="3" borderId="12" xfId="0" applyNumberFormat="1" applyFont="1" applyFill="1" applyBorder="1" applyAlignment="1" applyProtection="1">
      <alignment horizontal="center" vertical="center"/>
      <protection locked="0"/>
    </xf>
    <xf numFmtId="185" fontId="3" fillId="3" borderId="12" xfId="0" applyNumberFormat="1" applyFont="1" applyFill="1" applyBorder="1" applyAlignment="1" applyProtection="1">
      <alignment horizontal="center" vertical="center"/>
      <protection locked="0"/>
    </xf>
    <xf numFmtId="184" fontId="3" fillId="3" borderId="12" xfId="0" applyNumberFormat="1" applyFont="1" applyFill="1" applyBorder="1" applyAlignment="1" applyProtection="1">
      <alignment horizontal="center" vertical="center"/>
      <protection locked="0"/>
    </xf>
    <xf numFmtId="0" fontId="3" fillId="3" borderId="12" xfId="0" applyNumberFormat="1" applyFont="1" applyFill="1" applyBorder="1" applyAlignment="1" applyProtection="1">
      <alignment horizontal="center" vertical="center"/>
      <protection locked="0"/>
    </xf>
    <xf numFmtId="166" fontId="4" fillId="3" borderId="12" xfId="0" applyNumberFormat="1" applyFont="1" applyFill="1" applyBorder="1" applyAlignment="1" applyProtection="1">
      <alignment horizontal="right" vertical="center"/>
      <protection locked="0"/>
    </xf>
    <xf numFmtId="0" fontId="4" fillId="3" borderId="12" xfId="0" applyNumberFormat="1" applyFont="1" applyFill="1" applyBorder="1" applyAlignment="1" applyProtection="1">
      <alignment horizontal="right" vertical="center"/>
      <protection locked="0"/>
    </xf>
    <xf numFmtId="0" fontId="3" fillId="0" borderId="0" xfId="0" quotePrefix="1" applyFont="1" applyAlignment="1" applyProtection="1">
      <alignment vertical="center"/>
    </xf>
    <xf numFmtId="0" fontId="3" fillId="7" borderId="12" xfId="0" applyFont="1" applyFill="1" applyBorder="1" applyAlignment="1" applyProtection="1">
      <alignment horizontal="right" vertical="center"/>
    </xf>
    <xf numFmtId="172" fontId="3" fillId="7" borderId="23" xfId="0" applyNumberFormat="1" applyFont="1" applyFill="1" applyBorder="1" applyAlignment="1" applyProtection="1">
      <alignment horizontal="right" vertical="center"/>
    </xf>
    <xf numFmtId="167" fontId="3" fillId="7" borderId="24" xfId="0" applyNumberFormat="1" applyFont="1" applyFill="1" applyBorder="1" applyAlignment="1" applyProtection="1">
      <alignment horizontal="left" vertical="center" indent="1"/>
    </xf>
    <xf numFmtId="169" fontId="3" fillId="7" borderId="23" xfId="0" applyNumberFormat="1" applyFont="1" applyFill="1" applyBorder="1" applyAlignment="1" applyProtection="1">
      <alignment horizontal="right" vertical="center"/>
    </xf>
    <xf numFmtId="168" fontId="3" fillId="7" borderId="24" xfId="0" applyNumberFormat="1" applyFont="1" applyFill="1" applyBorder="1" applyAlignment="1" applyProtection="1">
      <alignment horizontal="left" vertical="center" indent="1"/>
    </xf>
    <xf numFmtId="173" fontId="3" fillId="7" borderId="24" xfId="0" applyNumberFormat="1" applyFont="1" applyFill="1" applyBorder="1" applyAlignment="1" applyProtection="1">
      <alignment horizontal="left" vertical="center" indent="1"/>
    </xf>
    <xf numFmtId="171" fontId="3" fillId="7" borderId="23" xfId="0" applyNumberFormat="1" applyFont="1" applyFill="1" applyBorder="1" applyAlignment="1" applyProtection="1">
      <alignment horizontal="right" vertical="center"/>
    </xf>
    <xf numFmtId="170" fontId="3" fillId="7" borderId="24" xfId="0" applyNumberFormat="1" applyFont="1" applyFill="1" applyBorder="1" applyAlignment="1" applyProtection="1">
      <alignment horizontal="left" vertical="center" indent="1"/>
    </xf>
    <xf numFmtId="176" fontId="3" fillId="7" borderId="23" xfId="0" applyNumberFormat="1" applyFont="1" applyFill="1" applyBorder="1" applyAlignment="1" applyProtection="1">
      <alignment horizontal="right" vertical="center"/>
    </xf>
    <xf numFmtId="177" fontId="3" fillId="7" borderId="24" xfId="0" applyNumberFormat="1" applyFont="1" applyFill="1" applyBorder="1" applyAlignment="1" applyProtection="1">
      <alignment horizontal="left" vertical="center" indent="1"/>
    </xf>
    <xf numFmtId="192" fontId="3" fillId="7" borderId="23" xfId="0" applyNumberFormat="1" applyFont="1" applyFill="1" applyBorder="1" applyAlignment="1" applyProtection="1">
      <alignment horizontal="right" vertical="center"/>
    </xf>
    <xf numFmtId="193" fontId="3" fillId="7" borderId="24" xfId="0" applyNumberFormat="1" applyFont="1" applyFill="1" applyBorder="1" applyAlignment="1" applyProtection="1">
      <alignment horizontal="left" vertical="center" indent="1"/>
    </xf>
    <xf numFmtId="180" fontId="3" fillId="7" borderId="23" xfId="0" applyNumberFormat="1" applyFont="1" applyFill="1" applyBorder="1" applyAlignment="1" applyProtection="1">
      <alignment horizontal="right" vertical="center"/>
    </xf>
    <xf numFmtId="181" fontId="3" fillId="7" borderId="23" xfId="0" applyNumberFormat="1" applyFont="1" applyFill="1" applyBorder="1" applyAlignment="1" applyProtection="1">
      <alignment horizontal="right" vertical="center"/>
    </xf>
    <xf numFmtId="182" fontId="3" fillId="7" borderId="24" xfId="0" applyNumberFormat="1" applyFont="1" applyFill="1" applyBorder="1" applyAlignment="1" applyProtection="1">
      <alignment horizontal="left" vertical="center" indent="1"/>
    </xf>
    <xf numFmtId="188" fontId="3" fillId="7" borderId="23" xfId="0" applyNumberFormat="1" applyFont="1" applyFill="1" applyBorder="1" applyAlignment="1" applyProtection="1">
      <alignment horizontal="right" vertical="center"/>
    </xf>
    <xf numFmtId="189" fontId="3" fillId="7" borderId="24" xfId="0" applyNumberFormat="1" applyFont="1" applyFill="1" applyBorder="1" applyAlignment="1" applyProtection="1">
      <alignment horizontal="left" vertical="center" indent="1"/>
    </xf>
    <xf numFmtId="191" fontId="3" fillId="7" borderId="23" xfId="0" applyNumberFormat="1" applyFont="1" applyFill="1" applyBorder="1" applyAlignment="1" applyProtection="1">
      <alignment horizontal="right" vertical="center"/>
    </xf>
    <xf numFmtId="190" fontId="3" fillId="7" borderId="24" xfId="0" applyNumberFormat="1" applyFont="1" applyFill="1" applyBorder="1" applyAlignment="1" applyProtection="1">
      <alignment horizontal="left" vertical="center" indent="1"/>
    </xf>
    <xf numFmtId="194" fontId="3" fillId="7" borderId="23" xfId="0" applyNumberFormat="1" applyFont="1" applyFill="1" applyBorder="1" applyAlignment="1" applyProtection="1">
      <alignment horizontal="right" vertical="center"/>
    </xf>
    <xf numFmtId="195" fontId="3" fillId="7" borderId="24" xfId="0" applyNumberFormat="1" applyFont="1" applyFill="1" applyBorder="1" applyAlignment="1" applyProtection="1">
      <alignment horizontal="left" vertical="center" indent="1"/>
    </xf>
    <xf numFmtId="198" fontId="3" fillId="7" borderId="23" xfId="0" applyNumberFormat="1" applyFont="1" applyFill="1" applyBorder="1" applyAlignment="1" applyProtection="1">
      <alignment horizontal="right" vertical="center"/>
    </xf>
    <xf numFmtId="199" fontId="3" fillId="7" borderId="24" xfId="0" applyNumberFormat="1" applyFont="1" applyFill="1" applyBorder="1" applyAlignment="1" applyProtection="1">
      <alignment horizontal="left" vertical="center" indent="1"/>
    </xf>
    <xf numFmtId="178" fontId="3" fillId="7" borderId="1" xfId="0" applyNumberFormat="1" applyFont="1" applyFill="1" applyBorder="1" applyAlignment="1" applyProtection="1">
      <alignment horizontal="right" vertical="center"/>
    </xf>
    <xf numFmtId="166" fontId="3" fillId="7" borderId="1" xfId="0" applyNumberFormat="1" applyFont="1" applyFill="1" applyBorder="1" applyAlignment="1" applyProtection="1">
      <alignment horizontal="left" vertical="center" indent="1"/>
    </xf>
    <xf numFmtId="169" fontId="3" fillId="7" borderId="1" xfId="0" applyNumberFormat="1" applyFont="1" applyFill="1" applyBorder="1" applyAlignment="1" applyProtection="1">
      <alignment horizontal="right" vertical="center"/>
    </xf>
    <xf numFmtId="202" fontId="3" fillId="7" borderId="1" xfId="0" applyNumberFormat="1" applyFont="1" applyFill="1" applyBorder="1" applyAlignment="1" applyProtection="1">
      <alignment horizontal="left" vertical="center" indent="1"/>
    </xf>
    <xf numFmtId="179" fontId="3" fillId="7" borderId="1" xfId="0" applyNumberFormat="1" applyFont="1" applyFill="1" applyBorder="1" applyAlignment="1" applyProtection="1">
      <alignment horizontal="left" vertical="center" indent="1"/>
    </xf>
    <xf numFmtId="186" fontId="3" fillId="7" borderId="1" xfId="0" applyNumberFormat="1" applyFont="1" applyFill="1" applyBorder="1" applyAlignment="1" applyProtection="1">
      <alignment horizontal="left" vertical="center" indent="1"/>
    </xf>
    <xf numFmtId="187" fontId="3" fillId="7" borderId="1" xfId="0" applyNumberFormat="1" applyFont="1" applyFill="1" applyBorder="1" applyAlignment="1" applyProtection="1">
      <alignment horizontal="left" vertical="center" indent="1"/>
    </xf>
    <xf numFmtId="10" fontId="3" fillId="7" borderId="1" xfId="7" applyNumberFormat="1" applyFont="1" applyFill="1" applyBorder="1" applyAlignment="1" applyProtection="1">
      <alignment horizontal="left" vertical="center" indent="1"/>
    </xf>
    <xf numFmtId="197" fontId="3" fillId="7" borderId="1" xfId="0" applyNumberFormat="1" applyFont="1" applyFill="1" applyBorder="1" applyAlignment="1" applyProtection="1">
      <alignment horizontal="left" vertical="center" indent="1"/>
    </xf>
    <xf numFmtId="196" fontId="3" fillId="7" borderId="1" xfId="0" applyNumberFormat="1" applyFont="1" applyFill="1" applyBorder="1" applyAlignment="1" applyProtection="1">
      <alignment horizontal="left" vertical="center" indent="1"/>
    </xf>
    <xf numFmtId="200" fontId="3" fillId="7" borderId="1" xfId="0" applyNumberFormat="1" applyFont="1" applyFill="1" applyBorder="1" applyAlignment="1" applyProtection="1">
      <alignment horizontal="left" vertical="center" indent="1"/>
    </xf>
    <xf numFmtId="201" fontId="3" fillId="7" borderId="1" xfId="0" applyNumberFormat="1" applyFont="1" applyFill="1" applyBorder="1" applyAlignment="1" applyProtection="1">
      <alignment horizontal="left" vertical="center" indent="1"/>
    </xf>
    <xf numFmtId="0" fontId="4" fillId="7" borderId="3" xfId="0" applyFont="1" applyFill="1" applyBorder="1" applyAlignment="1" applyProtection="1">
      <alignment horizontal="left" vertical="center"/>
    </xf>
    <xf numFmtId="0" fontId="3" fillId="7" borderId="25" xfId="0" applyFont="1" applyFill="1" applyBorder="1" applyAlignment="1" applyProtection="1">
      <alignment vertical="center"/>
    </xf>
    <xf numFmtId="0" fontId="3" fillId="7" borderId="4" xfId="0" applyFont="1" applyFill="1" applyBorder="1" applyAlignment="1" applyProtection="1">
      <alignment vertical="center"/>
    </xf>
    <xf numFmtId="0" fontId="3" fillId="7" borderId="3" xfId="0" applyFont="1" applyFill="1" applyBorder="1" applyAlignment="1" applyProtection="1">
      <alignment vertical="center"/>
    </xf>
    <xf numFmtId="2" fontId="3" fillId="0" borderId="0" xfId="0" applyNumberFormat="1" applyFont="1" applyFill="1" applyAlignment="1" applyProtection="1">
      <alignment horizontal="right" vertical="center" indent="1"/>
    </xf>
    <xf numFmtId="0" fontId="53" fillId="0" borderId="26" xfId="0" applyFont="1" applyBorder="1" applyAlignment="1">
      <alignment horizontal="center" vertical="center" wrapText="1"/>
    </xf>
    <xf numFmtId="0" fontId="51" fillId="0" borderId="26" xfId="0" applyFont="1" applyBorder="1" applyAlignment="1">
      <alignment horizontal="center" vertical="center" wrapText="1"/>
    </xf>
    <xf numFmtId="0" fontId="0" fillId="0" borderId="27" xfId="0" applyFont="1" applyBorder="1" applyAlignment="1">
      <alignment horizontal="center" vertical="center"/>
    </xf>
    <xf numFmtId="0" fontId="0" fillId="0" borderId="27" xfId="0" applyFont="1" applyBorder="1" applyAlignment="1">
      <alignment horizontal="left" vertical="center"/>
    </xf>
    <xf numFmtId="0" fontId="12" fillId="0" borderId="28" xfId="0" applyFont="1" applyBorder="1" applyAlignment="1">
      <alignment horizontal="left" vertical="center"/>
    </xf>
    <xf numFmtId="0" fontId="12" fillId="0" borderId="28" xfId="0" applyFont="1" applyBorder="1" applyAlignment="1">
      <alignment horizontal="center" vertical="center"/>
    </xf>
    <xf numFmtId="0" fontId="55" fillId="8" borderId="28" xfId="0" applyFont="1" applyFill="1" applyBorder="1" applyAlignment="1">
      <alignment horizontal="center" vertical="center"/>
    </xf>
    <xf numFmtId="0" fontId="12" fillId="0" borderId="28" xfId="0" applyFont="1" applyBorder="1" applyAlignment="1">
      <alignment horizontal="left" vertical="center" wrapText="1"/>
    </xf>
    <xf numFmtId="0" fontId="12" fillId="0" borderId="9" xfId="0" applyFont="1" applyBorder="1" applyAlignment="1">
      <alignment horizontal="left" vertical="center"/>
    </xf>
    <xf numFmtId="16" fontId="12" fillId="0" borderId="9" xfId="0" quotePrefix="1" applyNumberFormat="1" applyFont="1" applyBorder="1" applyAlignment="1">
      <alignment horizontal="center" vertical="center"/>
    </xf>
    <xf numFmtId="0" fontId="12" fillId="0" borderId="9" xfId="0" quotePrefix="1" applyFont="1" applyBorder="1" applyAlignment="1">
      <alignment horizontal="center" vertical="center"/>
    </xf>
    <xf numFmtId="0" fontId="55" fillId="8" borderId="9" xfId="0" applyFont="1" applyFill="1" applyBorder="1" applyAlignment="1">
      <alignment horizontal="center" vertical="center"/>
    </xf>
    <xf numFmtId="0" fontId="12" fillId="0" borderId="9" xfId="0" applyFont="1" applyBorder="1" applyAlignment="1">
      <alignment horizontal="left" vertical="center" wrapText="1"/>
    </xf>
    <xf numFmtId="0" fontId="12" fillId="0" borderId="29" xfId="0" applyFont="1" applyBorder="1" applyAlignment="1">
      <alignment horizontal="left" vertical="center"/>
    </xf>
    <xf numFmtId="0" fontId="12" fillId="0" borderId="29" xfId="0" applyFont="1" applyBorder="1" applyAlignment="1">
      <alignment horizontal="center" vertical="center"/>
    </xf>
    <xf numFmtId="0" fontId="55" fillId="8" borderId="29" xfId="0" applyFont="1" applyFill="1" applyBorder="1" applyAlignment="1">
      <alignment horizontal="center" vertical="center"/>
    </xf>
    <xf numFmtId="0" fontId="12" fillId="0" borderId="29" xfId="0" applyFont="1" applyBorder="1" applyAlignment="1">
      <alignment horizontal="left" vertical="center" wrapText="1"/>
    </xf>
    <xf numFmtId="0" fontId="12" fillId="0" borderId="27" xfId="0" applyFont="1" applyBorder="1" applyAlignment="1">
      <alignment horizontal="left" vertical="center"/>
    </xf>
    <xf numFmtId="0" fontId="12" fillId="0" borderId="27" xfId="0" applyFont="1" applyBorder="1" applyAlignment="1">
      <alignment horizontal="center" vertical="center"/>
    </xf>
    <xf numFmtId="0" fontId="55" fillId="8" borderId="27" xfId="0" applyFont="1" applyFill="1" applyBorder="1" applyAlignment="1">
      <alignment horizontal="center" vertical="center"/>
    </xf>
    <xf numFmtId="0" fontId="12" fillId="0" borderId="27" xfId="0" applyFont="1" applyBorder="1" applyAlignment="1">
      <alignment horizontal="left" vertical="center" wrapText="1"/>
    </xf>
    <xf numFmtId="0" fontId="12" fillId="0" borderId="9" xfId="0" applyFont="1" applyBorder="1" applyAlignment="1">
      <alignment horizontal="center" vertical="center"/>
    </xf>
    <xf numFmtId="0" fontId="12" fillId="0" borderId="29" xfId="0" quotePrefix="1" applyFont="1" applyBorder="1" applyAlignment="1">
      <alignment horizontal="center" vertical="center"/>
    </xf>
    <xf numFmtId="0" fontId="12" fillId="0" borderId="28" xfId="0" applyFont="1" applyFill="1" applyBorder="1" applyAlignment="1">
      <alignment horizontal="left" vertical="center"/>
    </xf>
    <xf numFmtId="0" fontId="12" fillId="0" borderId="28" xfId="0" applyFont="1" applyFill="1" applyBorder="1" applyAlignment="1">
      <alignment horizontal="center" vertical="center"/>
    </xf>
    <xf numFmtId="0" fontId="56" fillId="9" borderId="28" xfId="0" applyFont="1" applyFill="1" applyBorder="1" applyAlignment="1">
      <alignment horizontal="center" vertical="center"/>
    </xf>
    <xf numFmtId="0" fontId="12" fillId="0" borderId="28" xfId="0" applyFont="1" applyFill="1" applyBorder="1" applyAlignment="1">
      <alignment horizontal="left" vertical="center" wrapText="1"/>
    </xf>
    <xf numFmtId="0" fontId="12" fillId="0" borderId="9" xfId="0" applyFont="1" applyFill="1" applyBorder="1" applyAlignment="1">
      <alignment horizontal="left" vertical="center"/>
    </xf>
    <xf numFmtId="0" fontId="12" fillId="0" borderId="9" xfId="0" applyFont="1" applyFill="1" applyBorder="1" applyAlignment="1">
      <alignment horizontal="center" vertical="center"/>
    </xf>
    <xf numFmtId="0" fontId="19" fillId="0" borderId="9" xfId="0" applyFont="1" applyBorder="1" applyAlignment="1" applyProtection="1">
      <alignment horizontal="left" vertical="center"/>
    </xf>
    <xf numFmtId="0" fontId="55" fillId="10" borderId="9" xfId="0" applyFont="1" applyFill="1" applyBorder="1" applyAlignment="1">
      <alignment horizontal="center" vertical="center"/>
    </xf>
    <xf numFmtId="0" fontId="12" fillId="0" borderId="9" xfId="0" quotePrefix="1" applyFont="1" applyBorder="1" applyAlignment="1">
      <alignment horizontal="left" vertical="center" wrapText="1"/>
    </xf>
    <xf numFmtId="0" fontId="19" fillId="0" borderId="9" xfId="0" applyFont="1" applyBorder="1" applyAlignment="1" applyProtection="1">
      <alignment vertical="center"/>
    </xf>
    <xf numFmtId="0" fontId="57" fillId="0" borderId="9" xfId="0" applyFont="1" applyFill="1" applyBorder="1" applyAlignment="1" applyProtection="1">
      <alignment vertical="center"/>
    </xf>
    <xf numFmtId="0" fontId="19" fillId="0" borderId="9" xfId="0" applyFont="1" applyFill="1" applyBorder="1" applyAlignment="1" applyProtection="1">
      <alignment vertical="center"/>
    </xf>
    <xf numFmtId="0" fontId="57" fillId="0" borderId="9" xfId="0" applyFont="1" applyBorder="1" applyAlignment="1" applyProtection="1">
      <alignment vertical="center"/>
    </xf>
    <xf numFmtId="0" fontId="56" fillId="9" borderId="9" xfId="0" applyFont="1" applyFill="1" applyBorder="1" applyAlignment="1">
      <alignment horizontal="center" vertical="center"/>
    </xf>
    <xf numFmtId="0" fontId="19" fillId="0" borderId="9" xfId="0" applyFont="1" applyFill="1" applyBorder="1" applyAlignment="1" applyProtection="1">
      <alignment horizontal="left" vertical="center"/>
    </xf>
    <xf numFmtId="0" fontId="12" fillId="0" borderId="26" xfId="0" applyFont="1" applyFill="1" applyBorder="1" applyAlignment="1">
      <alignment horizontal="left" vertical="center"/>
    </xf>
    <xf numFmtId="0" fontId="12" fillId="0" borderId="26" xfId="0" applyFont="1" applyFill="1" applyBorder="1" applyAlignment="1">
      <alignment horizontal="center" vertical="center"/>
    </xf>
    <xf numFmtId="0" fontId="55" fillId="10" borderId="26"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27" xfId="0" applyFont="1" applyFill="1" applyBorder="1" applyAlignment="1">
      <alignment horizontal="left" vertical="center"/>
    </xf>
    <xf numFmtId="0" fontId="12" fillId="0" borderId="27" xfId="0" applyFont="1" applyFill="1" applyBorder="1" applyAlignment="1">
      <alignment horizontal="center" vertical="center"/>
    </xf>
    <xf numFmtId="0" fontId="58" fillId="0" borderId="26" xfId="0" applyFont="1" applyBorder="1" applyAlignment="1">
      <alignment horizontal="center" vertical="center" wrapText="1"/>
    </xf>
    <xf numFmtId="0" fontId="59" fillId="0" borderId="9" xfId="0" quotePrefix="1" applyFont="1" applyFill="1" applyBorder="1" applyAlignment="1" applyProtection="1">
      <alignment vertical="center" wrapText="1"/>
    </xf>
    <xf numFmtId="0" fontId="59" fillId="0" borderId="9" xfId="0" applyFont="1" applyFill="1" applyBorder="1" applyAlignment="1" applyProtection="1">
      <alignment vertical="center" wrapText="1"/>
    </xf>
    <xf numFmtId="0" fontId="12" fillId="0" borderId="9"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6" fillId="0" borderId="0" xfId="0" applyFont="1" applyBorder="1" applyAlignment="1" applyProtection="1">
      <alignment horizontal="left" vertical="center"/>
    </xf>
    <xf numFmtId="0" fontId="18" fillId="0" borderId="0" xfId="0" applyFont="1" applyAlignment="1" applyProtection="1">
      <alignment vertical="center"/>
    </xf>
    <xf numFmtId="0" fontId="47" fillId="0" borderId="0" xfId="0" quotePrefix="1" applyFont="1" applyAlignment="1" applyProtection="1">
      <alignment vertical="center"/>
    </xf>
    <xf numFmtId="0" fontId="3" fillId="0" borderId="0" xfId="0" applyFont="1" applyAlignment="1" applyProtection="1">
      <alignment horizontal="left" vertical="center" indent="1"/>
    </xf>
    <xf numFmtId="0" fontId="11" fillId="0" borderId="0" xfId="0" applyFont="1" applyAlignment="1" applyProtection="1">
      <alignment vertical="center"/>
    </xf>
    <xf numFmtId="184" fontId="4" fillId="4" borderId="20" xfId="0" applyNumberFormat="1" applyFont="1" applyFill="1" applyBorder="1" applyAlignment="1" applyProtection="1">
      <alignment horizontal="right" vertical="center"/>
    </xf>
    <xf numFmtId="0" fontId="8" fillId="0" borderId="1" xfId="0" applyFont="1" applyFill="1" applyBorder="1" applyAlignment="1" applyProtection="1">
      <alignment horizontal="center" vertical="center"/>
    </xf>
    <xf numFmtId="0" fontId="8" fillId="0" borderId="0" xfId="0" applyFont="1" applyAlignment="1" applyProtection="1">
      <alignment horizontal="left" vertical="center"/>
    </xf>
    <xf numFmtId="0" fontId="4" fillId="4" borderId="20" xfId="0" applyNumberFormat="1" applyFont="1" applyFill="1" applyBorder="1" applyAlignment="1" applyProtection="1">
      <alignment horizontal="right" vertical="center"/>
    </xf>
    <xf numFmtId="0" fontId="46" fillId="0" borderId="0" xfId="0" quotePrefix="1" applyFont="1" applyAlignment="1" applyProtection="1">
      <alignment vertical="center"/>
    </xf>
    <xf numFmtId="0" fontId="12" fillId="0" borderId="0" xfId="0" applyFont="1" applyAlignment="1" applyProtection="1">
      <alignment vertical="center"/>
    </xf>
    <xf numFmtId="0" fontId="21" fillId="0" borderId="0" xfId="0" applyFont="1" applyFill="1" applyBorder="1" applyAlignment="1" applyProtection="1">
      <alignment horizontal="left" vertical="center"/>
    </xf>
    <xf numFmtId="0" fontId="3" fillId="0" borderId="0" xfId="0" applyFont="1" applyAlignment="1" applyProtection="1">
      <alignment horizontal="left" vertical="center" indent="2"/>
    </xf>
    <xf numFmtId="0" fontId="22" fillId="0" borderId="0" xfId="0" applyFont="1" applyFill="1" applyAlignment="1" applyProtection="1">
      <alignment horizontal="center"/>
    </xf>
    <xf numFmtId="2" fontId="3" fillId="4" borderId="12" xfId="0" applyNumberFormat="1" applyFont="1" applyFill="1" applyBorder="1" applyAlignment="1" applyProtection="1">
      <alignment horizontal="center" vertical="center"/>
    </xf>
    <xf numFmtId="185" fontId="3" fillId="4" borderId="12" xfId="0" applyNumberFormat="1" applyFont="1" applyFill="1" applyBorder="1" applyAlignment="1" applyProtection="1">
      <alignment horizontal="center" vertical="center"/>
    </xf>
    <xf numFmtId="184" fontId="3" fillId="4" borderId="12" xfId="0" applyNumberFormat="1" applyFont="1" applyFill="1" applyBorder="1" applyAlignment="1" applyProtection="1">
      <alignment horizontal="center" vertical="center"/>
    </xf>
    <xf numFmtId="0" fontId="3" fillId="4" borderId="12" xfId="0" applyNumberFormat="1" applyFont="1" applyFill="1" applyBorder="1" applyAlignment="1" applyProtection="1">
      <alignment horizontal="center" vertical="center"/>
    </xf>
    <xf numFmtId="0" fontId="3" fillId="4" borderId="12" xfId="0" applyNumberFormat="1" applyFont="1" applyFill="1" applyBorder="1" applyAlignment="1" applyProtection="1">
      <alignment horizontal="right" vertical="center"/>
    </xf>
    <xf numFmtId="0" fontId="4" fillId="0" borderId="0" xfId="0" applyFont="1" applyFill="1" applyAlignment="1" applyProtection="1">
      <alignment vertical="center"/>
    </xf>
    <xf numFmtId="0" fontId="18" fillId="0" borderId="0" xfId="0" applyFont="1" applyFill="1" applyAlignment="1" applyProtection="1">
      <alignment vertical="center"/>
    </xf>
    <xf numFmtId="0" fontId="3" fillId="0" borderId="0" xfId="0" quotePrefix="1" applyFont="1" applyFill="1" applyAlignment="1" applyProtection="1">
      <alignment vertical="center"/>
    </xf>
    <xf numFmtId="0" fontId="7" fillId="0" borderId="0" xfId="0" applyFont="1" applyFill="1" applyAlignment="1" applyProtection="1">
      <alignment vertical="center"/>
    </xf>
    <xf numFmtId="0" fontId="3" fillId="0" borderId="13" xfId="0" applyFont="1" applyFill="1" applyBorder="1" applyAlignment="1" applyProtection="1">
      <alignment vertical="center"/>
    </xf>
    <xf numFmtId="0" fontId="3" fillId="0" borderId="13" xfId="0" applyFont="1" applyFill="1" applyBorder="1" applyAlignment="1" applyProtection="1">
      <alignment horizontal="right" vertical="center" indent="1"/>
    </xf>
    <xf numFmtId="0" fontId="3" fillId="0" borderId="13" xfId="0" applyFont="1" applyFill="1" applyBorder="1" applyAlignment="1" applyProtection="1">
      <alignment horizontal="left" vertical="center"/>
    </xf>
    <xf numFmtId="0" fontId="7" fillId="0" borderId="14" xfId="0" applyFont="1" applyFill="1" applyBorder="1" applyAlignment="1" applyProtection="1">
      <alignment vertical="center"/>
    </xf>
    <xf numFmtId="0" fontId="3" fillId="0" borderId="14" xfId="0" applyFont="1" applyFill="1" applyBorder="1" applyAlignment="1" applyProtection="1">
      <alignment vertical="center"/>
    </xf>
    <xf numFmtId="0" fontId="7" fillId="0" borderId="14" xfId="0" applyFont="1" applyFill="1" applyBorder="1" applyAlignment="1" applyProtection="1">
      <alignment horizontal="right" vertical="center" indent="1"/>
    </xf>
    <xf numFmtId="0" fontId="7" fillId="0" borderId="14" xfId="0" applyFont="1" applyFill="1" applyBorder="1" applyAlignment="1" applyProtection="1">
      <alignment horizontal="left" vertical="center"/>
    </xf>
    <xf numFmtId="0" fontId="7" fillId="0" borderId="0" xfId="0" applyFont="1" applyFill="1" applyAlignment="1" applyProtection="1">
      <alignment horizontal="right" vertical="center" indent="1"/>
    </xf>
    <xf numFmtId="0" fontId="7" fillId="0" borderId="0" xfId="0" applyFont="1" applyFill="1" applyAlignment="1" applyProtection="1">
      <alignment horizontal="left" vertical="center"/>
    </xf>
    <xf numFmtId="165" fontId="3" fillId="0" borderId="0" xfId="7" applyNumberFormat="1" applyFont="1" applyFill="1" applyAlignment="1" applyProtection="1">
      <alignment horizontal="right" vertical="center" indent="1"/>
    </xf>
    <xf numFmtId="0" fontId="34" fillId="0" borderId="0" xfId="0" applyFont="1" applyFill="1" applyAlignment="1" applyProtection="1">
      <alignment vertical="center"/>
    </xf>
    <xf numFmtId="0" fontId="3" fillId="0" borderId="0" xfId="0" applyFont="1" applyFill="1" applyBorder="1" applyAlignment="1" applyProtection="1">
      <alignment horizontal="right" vertical="center" indent="1"/>
    </xf>
    <xf numFmtId="0" fontId="3"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4" fillId="0" borderId="0" xfId="0" applyFont="1" applyFill="1" applyAlignment="1" applyProtection="1">
      <alignment horizontal="right" vertical="center" indent="1"/>
    </xf>
    <xf numFmtId="1" fontId="3" fillId="0" borderId="0" xfId="0" quotePrefix="1" applyNumberFormat="1" applyFont="1" applyAlignment="1" applyProtection="1">
      <alignment horizontal="center" vertical="center"/>
    </xf>
    <xf numFmtId="4" fontId="4" fillId="3" borderId="22" xfId="0" applyNumberFormat="1" applyFont="1" applyFill="1" applyBorder="1" applyAlignment="1" applyProtection="1">
      <alignment horizontal="right" vertical="center"/>
      <protection locked="0"/>
    </xf>
    <xf numFmtId="2" fontId="3" fillId="7" borderId="1" xfId="0" applyNumberFormat="1" applyFont="1" applyFill="1" applyBorder="1" applyAlignment="1" applyProtection="1">
      <alignment horizontal="left" vertical="center" indent="1"/>
    </xf>
    <xf numFmtId="3" fontId="3" fillId="0" borderId="0" xfId="0" applyNumberFormat="1" applyFont="1" applyFill="1" applyAlignment="1" applyProtection="1">
      <alignment vertical="center"/>
    </xf>
    <xf numFmtId="0" fontId="0" fillId="0" borderId="0" xfId="0" applyProtection="1"/>
    <xf numFmtId="0" fontId="45" fillId="0" borderId="0" xfId="0" applyFont="1" applyProtection="1"/>
    <xf numFmtId="0" fontId="16" fillId="0" borderId="0" xfId="6" applyFont="1" applyBorder="1" applyProtection="1"/>
    <xf numFmtId="0" fontId="0" fillId="0" borderId="9" xfId="0" applyBorder="1" applyAlignment="1" applyProtection="1">
      <alignment horizontal="center" vertical="center" wrapText="1"/>
    </xf>
    <xf numFmtId="2" fontId="0" fillId="0" borderId="9" xfId="0" applyNumberFormat="1" applyBorder="1" applyAlignment="1" applyProtection="1">
      <alignment horizontal="right" indent="1"/>
    </xf>
    <xf numFmtId="0" fontId="31" fillId="0" borderId="0" xfId="6" applyFont="1" applyBorder="1" applyProtection="1"/>
    <xf numFmtId="0" fontId="32" fillId="0" borderId="0" xfId="6" applyFont="1" applyBorder="1" applyProtection="1"/>
    <xf numFmtId="0" fontId="23" fillId="0" borderId="30" xfId="0" applyFont="1" applyBorder="1" applyAlignment="1" applyProtection="1">
      <alignment horizontal="center" vertical="center"/>
    </xf>
    <xf numFmtId="0" fontId="23" fillId="0" borderId="30" xfId="0" applyFont="1" applyBorder="1" applyAlignment="1" applyProtection="1">
      <alignment horizontal="left" vertical="center"/>
    </xf>
    <xf numFmtId="0" fontId="12" fillId="0" borderId="31" xfId="0" applyFont="1" applyFill="1" applyBorder="1" applyAlignment="1">
      <alignment horizontal="left" vertical="center"/>
    </xf>
    <xf numFmtId="0" fontId="12" fillId="0" borderId="31" xfId="0" applyFont="1" applyFill="1" applyBorder="1" applyAlignment="1">
      <alignment horizontal="center" vertical="center"/>
    </xf>
    <xf numFmtId="0" fontId="55" fillId="8" borderId="31" xfId="0" applyFont="1" applyFill="1" applyBorder="1" applyAlignment="1">
      <alignment horizontal="center" vertical="center"/>
    </xf>
    <xf numFmtId="0" fontId="12" fillId="0" borderId="31" xfId="0" applyFont="1" applyFill="1" applyBorder="1" applyAlignment="1">
      <alignment horizontal="left" vertical="center" wrapText="1"/>
    </xf>
    <xf numFmtId="0" fontId="12" fillId="0" borderId="29" xfId="0" quotePrefix="1" applyNumberFormat="1" applyFont="1" applyFill="1" applyBorder="1" applyAlignment="1">
      <alignment horizontal="center" vertical="center"/>
    </xf>
    <xf numFmtId="186" fontId="0" fillId="0" borderId="32" xfId="0" applyNumberFormat="1" applyBorder="1" applyAlignment="1" applyProtection="1">
      <alignment vertical="center"/>
    </xf>
    <xf numFmtId="186" fontId="0" fillId="0" borderId="33" xfId="0" applyNumberFormat="1" applyBorder="1" applyAlignment="1" applyProtection="1">
      <alignment vertical="center"/>
    </xf>
    <xf numFmtId="0" fontId="0" fillId="0" borderId="32" xfId="0" applyBorder="1" applyProtection="1"/>
    <xf numFmtId="0" fontId="0" fillId="0" borderId="33" xfId="0" applyBorder="1" applyProtection="1"/>
    <xf numFmtId="0" fontId="0" fillId="0" borderId="32" xfId="0" applyBorder="1"/>
    <xf numFmtId="0" fontId="0" fillId="0" borderId="33" xfId="0" applyBorder="1"/>
    <xf numFmtId="186" fontId="0" fillId="0" borderId="32" xfId="0" applyNumberFormat="1" applyBorder="1" applyAlignment="1">
      <alignment vertical="center"/>
    </xf>
    <xf numFmtId="186" fontId="0" fillId="0" borderId="33" xfId="0" applyNumberFormat="1" applyBorder="1" applyAlignment="1">
      <alignment vertical="center"/>
    </xf>
    <xf numFmtId="0" fontId="30" fillId="0" borderId="15" xfId="0" applyFont="1" applyBorder="1" applyAlignment="1" applyProtection="1">
      <alignment vertical="center"/>
    </xf>
    <xf numFmtId="0" fontId="3" fillId="0" borderId="0" xfId="0" quotePrefix="1" applyFont="1" applyBorder="1" applyAlignment="1" applyProtection="1">
      <alignment horizontal="center" vertical="center"/>
    </xf>
    <xf numFmtId="0" fontId="3" fillId="0" borderId="0" xfId="0" applyFont="1" applyBorder="1" applyAlignment="1" applyProtection="1">
      <alignment horizontal="right" vertical="center" indent="1"/>
    </xf>
    <xf numFmtId="0" fontId="3" fillId="0" borderId="46" xfId="0" applyFont="1" applyBorder="1" applyAlignment="1" applyProtection="1">
      <alignment vertical="center"/>
    </xf>
    <xf numFmtId="0" fontId="3" fillId="0" borderId="46" xfId="0" applyFont="1" applyFill="1" applyBorder="1" applyAlignment="1" applyProtection="1">
      <alignment vertical="center"/>
    </xf>
    <xf numFmtId="0" fontId="8" fillId="0" borderId="46" xfId="0" applyFont="1" applyFill="1" applyBorder="1" applyAlignment="1" applyProtection="1">
      <alignment vertical="center"/>
    </xf>
    <xf numFmtId="0" fontId="3" fillId="4" borderId="3" xfId="0" applyFont="1" applyFill="1" applyBorder="1" applyAlignment="1" applyProtection="1">
      <alignment vertical="center"/>
    </xf>
    <xf numFmtId="0" fontId="3" fillId="4" borderId="4" xfId="0" applyFont="1" applyFill="1" applyBorder="1" applyAlignment="1" applyProtection="1">
      <alignment vertical="center"/>
    </xf>
    <xf numFmtId="0" fontId="49" fillId="0" borderId="0" xfId="0" applyFont="1" applyAlignment="1" applyProtection="1">
      <alignment vertical="center"/>
    </xf>
    <xf numFmtId="0" fontId="4" fillId="0" borderId="0" xfId="0" applyFont="1" applyAlignment="1" applyProtection="1">
      <alignment horizontal="right" vertical="center" indent="1"/>
    </xf>
    <xf numFmtId="0" fontId="3" fillId="0" borderId="0" xfId="0" applyFont="1" applyFill="1" applyAlignment="1" applyProtection="1">
      <alignment horizontal="left" vertical="center" indent="1"/>
    </xf>
    <xf numFmtId="0" fontId="3" fillId="0" borderId="0" xfId="0" applyNumberFormat="1" applyFont="1" applyAlignment="1" applyProtection="1">
      <alignment vertical="center"/>
    </xf>
    <xf numFmtId="0" fontId="48" fillId="0" borderId="0" xfId="0" applyFont="1" applyAlignment="1" applyProtection="1">
      <alignment horizontal="left" vertical="center"/>
    </xf>
    <xf numFmtId="4" fontId="4" fillId="4" borderId="20" xfId="0" applyNumberFormat="1" applyFont="1" applyFill="1" applyBorder="1" applyAlignment="1" applyProtection="1">
      <alignment horizontal="right"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indent="1"/>
    </xf>
    <xf numFmtId="0" fontId="52" fillId="0" borderId="34" xfId="0" applyNumberFormat="1" applyFont="1" applyFill="1" applyBorder="1" applyAlignment="1" applyProtection="1">
      <alignment horizontal="right" vertical="center"/>
    </xf>
    <xf numFmtId="0" fontId="52" fillId="0" borderId="35" xfId="0" applyFont="1" applyFill="1" applyBorder="1" applyAlignment="1" applyProtection="1">
      <alignment horizontal="left" vertical="center"/>
    </xf>
    <xf numFmtId="0" fontId="52" fillId="0" borderId="0" xfId="0" applyFont="1" applyAlignment="1" applyProtection="1">
      <alignment vertical="center"/>
    </xf>
    <xf numFmtId="11" fontId="12" fillId="0" borderId="0" xfId="6" applyNumberFormat="1" applyAlignment="1" applyProtection="1">
      <alignment horizontal="center"/>
    </xf>
    <xf numFmtId="11" fontId="3" fillId="0" borderId="0" xfId="0" applyNumberFormat="1" applyFont="1" applyAlignment="1" applyProtection="1">
      <alignment vertical="center"/>
    </xf>
    <xf numFmtId="0" fontId="61" fillId="0" borderId="0" xfId="0" applyFont="1"/>
    <xf numFmtId="0" fontId="4" fillId="0" borderId="0" xfId="0" applyFont="1" applyAlignment="1">
      <alignment horizontal="left" vertical="top"/>
    </xf>
    <xf numFmtId="203" fontId="4" fillId="0" borderId="0" xfId="0" applyNumberFormat="1" applyFont="1" applyAlignment="1">
      <alignment horizontal="left" vertical="top"/>
    </xf>
    <xf numFmtId="0" fontId="4" fillId="0" borderId="0" xfId="0" applyFont="1" applyBorder="1" applyAlignment="1">
      <alignment horizontal="left" vertical="top"/>
    </xf>
    <xf numFmtId="203" fontId="4" fillId="0" borderId="0" xfId="0" applyNumberFormat="1" applyFont="1" applyBorder="1" applyAlignment="1">
      <alignment horizontal="left" vertical="top"/>
    </xf>
    <xf numFmtId="0" fontId="0" fillId="0" borderId="47" xfId="0" applyBorder="1"/>
    <xf numFmtId="0" fontId="0" fillId="0" borderId="48" xfId="0" applyBorder="1"/>
    <xf numFmtId="0" fontId="3" fillId="0" borderId="0" xfId="0" quotePrefix="1" applyNumberFormat="1" applyFont="1" applyAlignment="1" applyProtection="1">
      <alignment vertical="center"/>
    </xf>
    <xf numFmtId="11" fontId="63" fillId="7" borderId="1" xfId="0" applyNumberFormat="1" applyFont="1" applyFill="1" applyBorder="1" applyAlignment="1" applyProtection="1">
      <alignment horizontal="left" vertical="center" indent="1"/>
    </xf>
    <xf numFmtId="11" fontId="63" fillId="7" borderId="24" xfId="0" applyNumberFormat="1" applyFont="1" applyFill="1" applyBorder="1" applyAlignment="1" applyProtection="1">
      <alignment horizontal="left" vertical="center" indent="1"/>
    </xf>
    <xf numFmtId="172" fontId="63" fillId="7" borderId="23" xfId="0" applyNumberFormat="1" applyFont="1" applyFill="1" applyBorder="1" applyAlignment="1" applyProtection="1">
      <alignment horizontal="right" vertical="center"/>
    </xf>
    <xf numFmtId="167" fontId="63" fillId="7" borderId="24" xfId="0" applyNumberFormat="1" applyFont="1" applyFill="1" applyBorder="1" applyAlignment="1" applyProtection="1">
      <alignment horizontal="left" vertical="center" indent="1"/>
    </xf>
    <xf numFmtId="192" fontId="63" fillId="7" borderId="23" xfId="0" applyNumberFormat="1" applyFont="1" applyFill="1" applyBorder="1" applyAlignment="1" applyProtection="1">
      <alignment horizontal="right" vertical="center"/>
    </xf>
    <xf numFmtId="193" fontId="63" fillId="7" borderId="24" xfId="0" applyNumberFormat="1" applyFont="1" applyFill="1" applyBorder="1" applyAlignment="1" applyProtection="1">
      <alignment horizontal="left" vertical="center" indent="1"/>
    </xf>
    <xf numFmtId="11" fontId="63" fillId="7" borderId="36" xfId="0" applyNumberFormat="1" applyFont="1" applyFill="1" applyBorder="1" applyAlignment="1" applyProtection="1">
      <alignment horizontal="left" vertical="center" indent="1"/>
    </xf>
    <xf numFmtId="11" fontId="63" fillId="7" borderId="37" xfId="0" applyNumberFormat="1" applyFont="1" applyFill="1" applyBorder="1" applyAlignment="1" applyProtection="1">
      <alignment horizontal="left" vertical="center" indent="1"/>
    </xf>
    <xf numFmtId="11" fontId="13" fillId="7" borderId="38" xfId="0" applyNumberFormat="1" applyFont="1" applyFill="1" applyBorder="1" applyAlignment="1" applyProtection="1">
      <alignment horizontal="right" vertical="center" indent="1"/>
    </xf>
    <xf numFmtId="11" fontId="13" fillId="7" borderId="39" xfId="0" applyNumberFormat="1" applyFont="1" applyFill="1" applyBorder="1" applyAlignment="1" applyProtection="1">
      <alignment horizontal="left" vertical="center" indent="1"/>
    </xf>
    <xf numFmtId="11" fontId="63" fillId="7" borderId="15" xfId="0" applyNumberFormat="1" applyFont="1" applyFill="1" applyBorder="1" applyAlignment="1" applyProtection="1">
      <alignment horizontal="left" vertical="center" indent="1"/>
    </xf>
    <xf numFmtId="11" fontId="63" fillId="7" borderId="40" xfId="0" applyNumberFormat="1" applyFont="1" applyFill="1" applyBorder="1" applyAlignment="1" applyProtection="1">
      <alignment horizontal="left" vertical="center" indent="1"/>
    </xf>
    <xf numFmtId="0" fontId="0" fillId="0" borderId="0" xfId="0" applyBorder="1"/>
    <xf numFmtId="0" fontId="8" fillId="0" borderId="0" xfId="0" applyFont="1" applyFill="1" applyBorder="1" applyAlignment="1" applyProtection="1">
      <alignment horizontal="center" vertical="center"/>
    </xf>
    <xf numFmtId="0" fontId="8" fillId="0" borderId="0" xfId="0" quotePrefix="1" applyFont="1" applyAlignment="1" applyProtection="1">
      <alignment vertical="center"/>
    </xf>
    <xf numFmtId="204" fontId="3" fillId="7" borderId="23" xfId="0" applyNumberFormat="1" applyFont="1" applyFill="1" applyBorder="1" applyAlignment="1" applyProtection="1">
      <alignment horizontal="right" vertical="center"/>
    </xf>
    <xf numFmtId="205" fontId="3" fillId="7" borderId="24" xfId="0" applyNumberFormat="1" applyFont="1" applyFill="1" applyBorder="1" applyAlignment="1" applyProtection="1">
      <alignment horizontal="left" vertical="center" indent="1"/>
    </xf>
    <xf numFmtId="169" fontId="3" fillId="7" borderId="1" xfId="0" applyNumberFormat="1" applyFont="1" applyFill="1" applyBorder="1" applyAlignment="1" applyProtection="1">
      <alignment horizontal="left" vertical="center"/>
    </xf>
    <xf numFmtId="165" fontId="4" fillId="12" borderId="22" xfId="7" applyNumberFormat="1" applyFont="1" applyFill="1" applyBorder="1" applyAlignment="1" applyProtection="1">
      <alignment horizontal="center" vertical="center"/>
    </xf>
    <xf numFmtId="165" fontId="3" fillId="12" borderId="22" xfId="7" applyNumberFormat="1" applyFont="1" applyFill="1" applyBorder="1" applyAlignment="1" applyProtection="1">
      <alignment horizontal="center" vertical="center"/>
    </xf>
    <xf numFmtId="1" fontId="4" fillId="13" borderId="22" xfId="0" applyNumberFormat="1" applyFont="1" applyFill="1" applyBorder="1" applyAlignment="1" applyProtection="1">
      <alignment horizontal="right" vertical="center"/>
    </xf>
    <xf numFmtId="4" fontId="4" fillId="4" borderId="49" xfId="0" applyNumberFormat="1" applyFont="1" applyFill="1" applyBorder="1" applyAlignment="1" applyProtection="1">
      <alignment horizontal="right" vertical="center"/>
    </xf>
    <xf numFmtId="0" fontId="4" fillId="4" borderId="49" xfId="0" applyFont="1" applyFill="1" applyBorder="1" applyAlignment="1" applyProtection="1">
      <alignment horizontal="right" vertical="center"/>
    </xf>
    <xf numFmtId="165" fontId="4" fillId="4" borderId="49" xfId="7" applyNumberFormat="1" applyFont="1" applyFill="1" applyBorder="1" applyAlignment="1" applyProtection="1">
      <alignment horizontal="right" vertical="center"/>
    </xf>
    <xf numFmtId="0" fontId="64"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Alignment="1" applyProtection="1">
      <alignment horizontal="right" vertical="center" indent="1"/>
    </xf>
    <xf numFmtId="0" fontId="8" fillId="0" borderId="0" xfId="0" applyFont="1" applyFill="1" applyAlignment="1" applyProtection="1">
      <alignment horizontal="left" vertical="center" indent="1"/>
    </xf>
    <xf numFmtId="0" fontId="35" fillId="6" borderId="0" xfId="0" applyNumberFormat="1" applyFont="1" applyFill="1" applyBorder="1" applyAlignment="1" applyProtection="1">
      <alignment horizontal="right" vertical="center"/>
    </xf>
    <xf numFmtId="0" fontId="4" fillId="0" borderId="0" xfId="0" applyNumberFormat="1" applyFont="1" applyAlignment="1" applyProtection="1">
      <alignment horizontal="right" vertical="center"/>
    </xf>
    <xf numFmtId="0" fontId="3" fillId="0" borderId="0" xfId="0" applyNumberFormat="1" applyFont="1" applyAlignment="1" applyProtection="1">
      <alignment horizontal="center" vertical="center"/>
    </xf>
    <xf numFmtId="4" fontId="3" fillId="0" borderId="0" xfId="0" quotePrefix="1" applyNumberFormat="1" applyFont="1" applyAlignment="1" applyProtection="1">
      <alignment horizontal="center" vertical="center"/>
    </xf>
    <xf numFmtId="1" fontId="4" fillId="14" borderId="22" xfId="0" applyNumberFormat="1" applyFont="1" applyFill="1" applyBorder="1" applyAlignment="1" applyProtection="1">
      <alignment horizontal="right" vertical="center"/>
    </xf>
    <xf numFmtId="0" fontId="4" fillId="14" borderId="22" xfId="0" applyNumberFormat="1" applyFont="1" applyFill="1" applyBorder="1" applyAlignment="1" applyProtection="1">
      <alignment horizontal="right" vertical="center"/>
      <protection locked="0"/>
    </xf>
    <xf numFmtId="4" fontId="4" fillId="14" borderId="22" xfId="0" applyNumberFormat="1" applyFont="1" applyFill="1" applyBorder="1" applyAlignment="1" applyProtection="1">
      <alignment horizontal="right" vertical="center"/>
      <protection locked="0"/>
    </xf>
    <xf numFmtId="0" fontId="4" fillId="0" borderId="0" xfId="0" applyFont="1" applyFill="1" applyBorder="1" applyAlignment="1">
      <alignment horizontal="left" vertical="top" wrapText="1"/>
    </xf>
    <xf numFmtId="0" fontId="3" fillId="0" borderId="0" xfId="0" applyFont="1" applyFill="1" applyAlignment="1" applyProtection="1">
      <alignment horizontal="center" vertical="center"/>
    </xf>
    <xf numFmtId="10" fontId="8" fillId="0" borderId="1" xfId="7" applyNumberFormat="1" applyFont="1" applyFill="1" applyBorder="1" applyAlignment="1" applyProtection="1">
      <alignment horizontal="center" vertical="center"/>
    </xf>
    <xf numFmtId="0" fontId="1" fillId="0" borderId="9" xfId="0" quotePrefix="1" applyFont="1" applyBorder="1" applyAlignment="1">
      <alignment horizontal="center" vertical="center"/>
    </xf>
    <xf numFmtId="0" fontId="12" fillId="0" borderId="26" xfId="0" applyFont="1" applyBorder="1" applyAlignment="1">
      <alignment horizontal="left" vertical="center"/>
    </xf>
    <xf numFmtId="0" fontId="1" fillId="0" borderId="26" xfId="0" quotePrefix="1" applyFont="1" applyBorder="1" applyAlignment="1">
      <alignment horizontal="center" vertical="center"/>
    </xf>
    <xf numFmtId="0" fontId="1" fillId="0" borderId="9" xfId="0" applyFont="1" applyBorder="1" applyAlignment="1">
      <alignment horizontal="left" vertical="center" wrapText="1"/>
    </xf>
    <xf numFmtId="0" fontId="1" fillId="0" borderId="50"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0" xfId="0" applyFont="1" applyAlignment="1">
      <alignment horizontal="left" vertical="top"/>
    </xf>
    <xf numFmtId="0" fontId="1" fillId="0" borderId="28" xfId="0" applyFont="1" applyBorder="1" applyAlignment="1">
      <alignment horizontal="center" vertical="center"/>
    </xf>
    <xf numFmtId="0" fontId="1" fillId="0" borderId="28" xfId="0" applyFont="1" applyBorder="1" applyAlignment="1">
      <alignment horizontal="left" vertical="center" wrapText="1"/>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7" xfId="0" applyFont="1" applyBorder="1" applyAlignment="1">
      <alignment horizontal="left" vertical="center" wrapText="1"/>
    </xf>
    <xf numFmtId="0" fontId="1" fillId="0" borderId="27" xfId="0" applyFont="1" applyFill="1" applyBorder="1" applyAlignment="1">
      <alignment horizontal="left" vertical="center"/>
    </xf>
    <xf numFmtId="0" fontId="12" fillId="0" borderId="26" xfId="0" applyFont="1" applyBorder="1" applyAlignment="1">
      <alignment horizontal="center" vertical="center"/>
    </xf>
    <xf numFmtId="0" fontId="55" fillId="8" borderId="26" xfId="0" applyFont="1" applyFill="1" applyBorder="1" applyAlignment="1">
      <alignment horizontal="center" vertical="center"/>
    </xf>
    <xf numFmtId="0" fontId="1" fillId="0" borderId="26" xfId="0" applyFont="1" applyBorder="1" applyAlignment="1">
      <alignment horizontal="left" vertical="center" wrapText="1"/>
    </xf>
    <xf numFmtId="0" fontId="19" fillId="0" borderId="27" xfId="0" applyFont="1" applyBorder="1" applyAlignment="1" applyProtection="1">
      <alignment horizontal="left" vertical="center"/>
    </xf>
    <xf numFmtId="0" fontId="55" fillId="10" borderId="27" xfId="0" applyFont="1" applyFill="1" applyBorder="1" applyAlignment="1">
      <alignment horizontal="center" vertical="center"/>
    </xf>
    <xf numFmtId="0" fontId="1" fillId="0" borderId="27" xfId="0" quotePrefix="1" applyFont="1" applyBorder="1" applyAlignment="1">
      <alignment horizontal="left" vertical="center" wrapText="1"/>
    </xf>
    <xf numFmtId="0" fontId="1" fillId="0" borderId="27" xfId="0" applyFont="1" applyBorder="1" applyAlignment="1">
      <alignment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wrapText="1" indent="2"/>
    </xf>
    <xf numFmtId="0" fontId="4" fillId="11" borderId="32" xfId="0" applyFont="1" applyFill="1" applyBorder="1" applyAlignment="1" applyProtection="1">
      <alignment horizontal="center" vertical="center"/>
      <protection locked="0"/>
    </xf>
    <xf numFmtId="0" fontId="4" fillId="11" borderId="41" xfId="0" applyFont="1" applyFill="1" applyBorder="1" applyAlignment="1" applyProtection="1">
      <alignment horizontal="center" vertical="center"/>
      <protection locked="0"/>
    </xf>
    <xf numFmtId="0" fontId="4" fillId="11" borderId="33" xfId="0" applyFont="1" applyFill="1" applyBorder="1" applyAlignment="1" applyProtection="1">
      <alignment horizontal="center" vertical="center"/>
      <protection locked="0"/>
    </xf>
    <xf numFmtId="169" fontId="3" fillId="7" borderId="23" xfId="0" applyNumberFormat="1" applyFont="1" applyFill="1" applyBorder="1" applyAlignment="1" applyProtection="1">
      <alignment horizontal="left" vertical="center"/>
    </xf>
    <xf numFmtId="169" fontId="3" fillId="7" borderId="24" xfId="0" applyNumberFormat="1" applyFont="1" applyFill="1" applyBorder="1" applyAlignment="1" applyProtection="1">
      <alignment horizontal="left" vertical="center"/>
    </xf>
    <xf numFmtId="169" fontId="3" fillId="7" borderId="42" xfId="0" applyNumberFormat="1" applyFont="1" applyFill="1" applyBorder="1" applyAlignment="1" applyProtection="1">
      <alignment horizontal="right" vertical="center"/>
    </xf>
    <xf numFmtId="169" fontId="3" fillId="7" borderId="43" xfId="0" applyNumberFormat="1" applyFont="1" applyFill="1" applyBorder="1" applyAlignment="1" applyProtection="1">
      <alignment horizontal="right" vertical="center"/>
    </xf>
    <xf numFmtId="169" fontId="3" fillId="7" borderId="42" xfId="0" applyNumberFormat="1" applyFont="1" applyFill="1" applyBorder="1" applyAlignment="1" applyProtection="1">
      <alignment horizontal="right" vertical="center" wrapText="1"/>
    </xf>
    <xf numFmtId="169" fontId="3" fillId="7" borderId="43" xfId="0" applyNumberFormat="1" applyFont="1" applyFill="1" applyBorder="1" applyAlignment="1" applyProtection="1">
      <alignment horizontal="right" vertical="center" wrapText="1"/>
    </xf>
    <xf numFmtId="0" fontId="22" fillId="0" borderId="0" xfId="0" applyFont="1" applyFill="1" applyAlignment="1" applyProtection="1">
      <alignment horizontal="center"/>
    </xf>
    <xf numFmtId="0" fontId="4" fillId="0" borderId="0" xfId="0" quotePrefix="1" applyFont="1" applyAlignment="1">
      <alignment horizontal="left" vertical="top"/>
    </xf>
    <xf numFmtId="0" fontId="4" fillId="0" borderId="0" xfId="0" applyFont="1" applyAlignment="1">
      <alignment horizontal="left" vertical="top"/>
    </xf>
    <xf numFmtId="0" fontId="4" fillId="0" borderId="0" xfId="0" quotePrefix="1" applyFont="1" applyBorder="1" applyAlignment="1">
      <alignment horizontal="left" vertical="top"/>
    </xf>
    <xf numFmtId="0" fontId="4" fillId="0" borderId="0" xfId="0" applyFont="1" applyBorder="1" applyAlignment="1">
      <alignment horizontal="left" vertical="top"/>
    </xf>
    <xf numFmtId="0" fontId="0" fillId="0" borderId="28" xfId="0" applyFont="1" applyBorder="1" applyAlignment="1">
      <alignment horizontal="center" vertical="center"/>
    </xf>
    <xf numFmtId="0" fontId="0" fillId="0" borderId="9" xfId="0" applyFont="1" applyBorder="1" applyAlignment="1">
      <alignment horizontal="center" vertical="center"/>
    </xf>
    <xf numFmtId="0" fontId="0" fillId="0" borderId="29" xfId="0" applyFont="1" applyBorder="1" applyAlignment="1">
      <alignment horizontal="center" vertical="center"/>
    </xf>
    <xf numFmtId="0" fontId="0" fillId="0" borderId="44" xfId="0" applyFont="1" applyBorder="1" applyAlignment="1">
      <alignment horizontal="center" vertical="center"/>
    </xf>
    <xf numFmtId="0" fontId="0" fillId="0" borderId="31" xfId="0" applyFont="1" applyBorder="1" applyAlignment="1">
      <alignment horizontal="center" vertical="center"/>
    </xf>
    <xf numFmtId="0" fontId="0" fillId="0" borderId="45" xfId="0" applyFont="1" applyBorder="1" applyAlignment="1">
      <alignment horizontal="center" vertical="center"/>
    </xf>
    <xf numFmtId="0" fontId="0" fillId="0" borderId="44" xfId="0" applyFont="1" applyBorder="1" applyAlignment="1">
      <alignment horizontal="center" vertical="center" wrapText="1"/>
    </xf>
    <xf numFmtId="0" fontId="0" fillId="0" borderId="31" xfId="0" applyFont="1" applyBorder="1" applyAlignment="1">
      <alignment horizontal="center" vertical="center" wrapText="1"/>
    </xf>
    <xf numFmtId="0" fontId="59" fillId="0" borderId="9" xfId="0" quotePrefix="1" applyFont="1" applyFill="1" applyBorder="1" applyAlignment="1" applyProtection="1">
      <alignment horizontal="left" vertical="center" wrapText="1"/>
    </xf>
    <xf numFmtId="0" fontId="59" fillId="0" borderId="9" xfId="0" applyFont="1" applyFill="1" applyBorder="1" applyAlignment="1" applyProtection="1">
      <alignment horizontal="left" vertical="center" wrapText="1"/>
    </xf>
    <xf numFmtId="0" fontId="12" fillId="0" borderId="9" xfId="0" applyFont="1" applyBorder="1" applyAlignment="1">
      <alignment horizontal="left" vertical="center" wrapText="1"/>
    </xf>
    <xf numFmtId="0" fontId="0" fillId="0" borderId="50" xfId="0" applyFont="1" applyBorder="1" applyAlignment="1">
      <alignment horizontal="center" vertical="center"/>
    </xf>
  </cellXfs>
  <cellStyles count="9">
    <cellStyle name="Comma" xfId="1" builtinId="3"/>
    <cellStyle name="Comma 2" xfId="2"/>
    <cellStyle name="Currency 2" xfId="3"/>
    <cellStyle name="Euro" xfId="4"/>
    <cellStyle name="Euro 2" xfId="5"/>
    <cellStyle name="Normal" xfId="0" builtinId="0"/>
    <cellStyle name="Normal 2" xfId="6"/>
    <cellStyle name="Percent" xfId="7" builtinId="5"/>
    <cellStyle name="Percent 2" xfId="8"/>
  </cellStyles>
  <dxfs count="95">
    <dxf>
      <font>
        <color theme="0"/>
      </font>
      <border>
        <left/>
        <right/>
        <top/>
        <bottom/>
      </border>
    </dxf>
    <dxf>
      <font>
        <color theme="0"/>
      </font>
      <border>
        <left/>
        <right/>
        <top/>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font>
    </dxf>
    <dxf>
      <font>
        <color theme="0"/>
      </font>
    </dxf>
    <dxf>
      <font>
        <color theme="0"/>
      </font>
    </dxf>
    <dxf>
      <font>
        <color theme="0"/>
      </font>
      <fill>
        <patternFill>
          <bgColor theme="0"/>
        </patternFill>
      </fill>
      <border>
        <right/>
        <top/>
        <bottom/>
        <vertical/>
        <horizontal/>
      </border>
    </dxf>
    <dxf>
      <font>
        <color theme="0"/>
      </font>
      <fill>
        <patternFill>
          <bgColor theme="0"/>
        </patternFill>
      </fill>
      <border>
        <top/>
        <bottom/>
        <vertical/>
        <horizontal/>
      </border>
    </dxf>
    <dxf>
      <font>
        <color theme="0"/>
      </font>
      <fill>
        <patternFill>
          <bgColor theme="0"/>
        </patternFill>
      </fill>
      <border>
        <top/>
        <bottom/>
        <vertical/>
        <horizontal/>
      </border>
    </dxf>
    <dxf>
      <font>
        <color theme="0"/>
      </font>
      <fill>
        <patternFill>
          <bgColor theme="0"/>
        </patternFill>
      </fill>
      <border>
        <left/>
        <top/>
        <bottom/>
        <vertical/>
        <horizontal/>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ont>
        <b/>
        <i val="0"/>
        <color theme="0"/>
      </font>
      <fill>
        <patternFill>
          <bgColor rgb="FF00206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ill>
        <patternFill>
          <bgColor rgb="FFFFC000"/>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dPt>
            <c:idx val="0"/>
            <c:bubble3D val="0"/>
          </c:dPt>
          <c:dPt>
            <c:idx val="1"/>
            <c:bubble3D val="0"/>
          </c:dPt>
          <c:dPt>
            <c:idx val="2"/>
            <c:bubble3D val="0"/>
          </c:dPt>
          <c:dPt>
            <c:idx val="3"/>
            <c:bubble3D val="0"/>
          </c:dPt>
          <c:dPt>
            <c:idx val="4"/>
            <c:bubble3D val="0"/>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dLbls>
          <c:cat>
            <c:strRef>
              <c:f>'ENERGY FOOTPRINT'!$G$4:$G$8</c:f>
              <c:strCache>
                <c:ptCount val="5"/>
                <c:pt idx="0">
                  <c:v>Direct Power Consumption</c:v>
                </c:pt>
                <c:pt idx="1">
                  <c:v>Heat Soak</c:v>
                </c:pt>
                <c:pt idx="2">
                  <c:v>Flush Cooling</c:v>
                </c:pt>
                <c:pt idx="3">
                  <c:v>Diluent Removal</c:v>
                </c:pt>
                <c:pt idx="4">
                  <c:v>Miscellaneous</c:v>
                </c:pt>
              </c:strCache>
            </c:strRef>
          </c:cat>
          <c:val>
            <c:numRef>
              <c:f>'ENERGY FOOTPRINT'!$J$4:$J$8</c:f>
              <c:numCache>
                <c:formatCode>0.000" kW"</c:formatCode>
                <c:ptCount val="5"/>
                <c:pt idx="0">
                  <c:v>0.14818843000969298</c:v>
                </c:pt>
                <c:pt idx="1">
                  <c:v>7.5560702696594131</c:v>
                </c:pt>
                <c:pt idx="2">
                  <c:v>0</c:v>
                </c:pt>
                <c:pt idx="3">
                  <c:v>0</c:v>
                </c:pt>
                <c:pt idx="4">
                  <c:v>0</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7796658699634815"/>
          <c:y val="0.2574630783092412"/>
          <c:w val="0.30816657162846939"/>
          <c:h val="0.47761272378266151"/>
        </c:manualLayout>
      </c:layout>
      <c:overlay val="0"/>
      <c:txPr>
        <a:bodyPr/>
        <a:lstStyle/>
        <a:p>
          <a:pPr>
            <a:defRPr sz="92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dPt>
            <c:idx val="0"/>
            <c:bubble3D val="0"/>
          </c:dPt>
          <c:dPt>
            <c:idx val="1"/>
            <c:bubble3D val="0"/>
          </c:dPt>
          <c:dPt>
            <c:idx val="2"/>
            <c:bubble3D val="0"/>
          </c:dPt>
          <c:dPt>
            <c:idx val="3"/>
            <c:bubble3D val="0"/>
          </c:dPt>
          <c:dPt>
            <c:idx val="4"/>
            <c:bubble3D val="0"/>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dLbls>
          <c:cat>
            <c:strRef>
              <c:f>'ENERGY FOOTPRINT'!$G$4:$G$8</c:f>
              <c:strCache>
                <c:ptCount val="5"/>
                <c:pt idx="0">
                  <c:v>Direct Power Consumption</c:v>
                </c:pt>
                <c:pt idx="1">
                  <c:v>Heat Soak</c:v>
                </c:pt>
                <c:pt idx="2">
                  <c:v>Flush Cooling</c:v>
                </c:pt>
                <c:pt idx="3">
                  <c:v>Diluent Removal</c:v>
                </c:pt>
                <c:pt idx="4">
                  <c:v>Miscellaneous</c:v>
                </c:pt>
              </c:strCache>
            </c:strRef>
          </c:cat>
          <c:val>
            <c:numRef>
              <c:f>'ENERGY FOOTPRINT'!$I$4:$I$8</c:f>
              <c:numCache>
                <c:formatCode>0.000" kW"</c:formatCode>
                <c:ptCount val="5"/>
                <c:pt idx="0">
                  <c:v>0.14818843000969298</c:v>
                </c:pt>
                <c:pt idx="1">
                  <c:v>3.0138293787157422</c:v>
                </c:pt>
                <c:pt idx="2">
                  <c:v>3.1620178087254351</c:v>
                </c:pt>
                <c:pt idx="3">
                  <c:v>0</c:v>
                </c:pt>
                <c:pt idx="4">
                  <c:v>0</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7591214426393931"/>
          <c:y val="0.2574630783092412"/>
          <c:w val="0.31022101436087823"/>
          <c:h val="0.47761272378266151"/>
        </c:manualLayout>
      </c:layout>
      <c:overlay val="0"/>
      <c:txPr>
        <a:bodyPr/>
        <a:lstStyle/>
        <a:p>
          <a:pPr>
            <a:defRPr sz="92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dPt>
            <c:idx val="0"/>
            <c:bubble3D val="0"/>
          </c:dPt>
          <c:dPt>
            <c:idx val="1"/>
            <c:bubble3D val="0"/>
          </c:dPt>
          <c:dPt>
            <c:idx val="2"/>
            <c:bubble3D val="0"/>
          </c:dPt>
          <c:dPt>
            <c:idx val="3"/>
            <c:bubble3D val="0"/>
          </c:dPt>
          <c:dPt>
            <c:idx val="4"/>
            <c:bubble3D val="0"/>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dLbls>
          <c:cat>
            <c:strRef>
              <c:f>'ENERGY FOOTPRINT'!$G$4:$G$8</c:f>
              <c:strCache>
                <c:ptCount val="5"/>
                <c:pt idx="0">
                  <c:v>Direct Power Consumption</c:v>
                </c:pt>
                <c:pt idx="1">
                  <c:v>Heat Soak</c:v>
                </c:pt>
                <c:pt idx="2">
                  <c:v>Flush Cooling</c:v>
                </c:pt>
                <c:pt idx="3">
                  <c:v>Diluent Removal</c:v>
                </c:pt>
                <c:pt idx="4">
                  <c:v>Miscellaneous</c:v>
                </c:pt>
              </c:strCache>
            </c:strRef>
          </c:cat>
          <c:val>
            <c:numRef>
              <c:f>'ENERGY FOOTPRINT'!$K$4:$K$8</c:f>
              <c:numCache>
                <c:formatCode>0.000" kW"</c:formatCode>
                <c:ptCount val="5"/>
                <c:pt idx="0">
                  <c:v>1.4816302047093957</c:v>
                </c:pt>
                <c:pt idx="1">
                  <c:v>0</c:v>
                </c:pt>
                <c:pt idx="2">
                  <c:v>0</c:v>
                </c:pt>
                <c:pt idx="3">
                  <c:v>0</c:v>
                </c:pt>
                <c:pt idx="4">
                  <c:v>0</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7796658699634815"/>
          <c:y val="0.2574630783092412"/>
          <c:w val="0.30816657162846939"/>
          <c:h val="0.47761272378266151"/>
        </c:manualLayout>
      </c:layout>
      <c:overlay val="0"/>
      <c:txPr>
        <a:bodyPr/>
        <a:lstStyle/>
        <a:p>
          <a:pPr>
            <a:defRPr sz="92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dLbls>
          <c:cat>
            <c:strRef>
              <c:f>'OPERATING COSTS'!$G$4:$G$11</c:f>
              <c:strCache>
                <c:ptCount val="8"/>
                <c:pt idx="0">
                  <c:v>Flush</c:v>
                </c:pt>
                <c:pt idx="1">
                  <c:v>Quench</c:v>
                </c:pt>
                <c:pt idx="2">
                  <c:v>Effluent</c:v>
                </c:pt>
                <c:pt idx="3">
                  <c:v>Cooling Water</c:v>
                </c:pt>
                <c:pt idx="4">
                  <c:v>Nitrogen</c:v>
                </c:pt>
                <c:pt idx="5">
                  <c:v>Product Loss</c:v>
                </c:pt>
                <c:pt idx="6">
                  <c:v>Barrier Fluid</c:v>
                </c:pt>
                <c:pt idx="7">
                  <c:v>Additional</c:v>
                </c:pt>
              </c:strCache>
            </c:strRef>
          </c:cat>
          <c:val>
            <c:numRef>
              <c:f>'OPERATING COSTS'!$J$4:$J$11</c:f>
              <c:numCache>
                <c:formatCode>0.00</c:formatCode>
                <c:ptCount val="8"/>
                <c:pt idx="0">
                  <c:v>459.9</c:v>
                </c:pt>
                <c:pt idx="1">
                  <c:v>0</c:v>
                </c:pt>
                <c:pt idx="2">
                  <c:v>0</c:v>
                </c:pt>
                <c:pt idx="3">
                  <c:v>0</c:v>
                </c:pt>
                <c:pt idx="4">
                  <c:v>0</c:v>
                </c:pt>
                <c:pt idx="5">
                  <c:v>11.571959999999999</c:v>
                </c:pt>
                <c:pt idx="6">
                  <c:v>0</c:v>
                </c:pt>
                <c:pt idx="7">
                  <c:v>0</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6373973284156116"/>
          <c:y val="0.11567203353312179"/>
          <c:w val="0.22547525164901383"/>
          <c:h val="0.76492694010263629"/>
        </c:manualLayout>
      </c:layout>
      <c:overlay val="0"/>
      <c:txPr>
        <a:bodyPr/>
        <a:lstStyle/>
        <a:p>
          <a:pPr>
            <a:defRPr sz="92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dLbls>
          <c:cat>
            <c:strRef>
              <c:f>'OPERATING COSTS'!$G$4:$G$11</c:f>
              <c:strCache>
                <c:ptCount val="8"/>
                <c:pt idx="0">
                  <c:v>Flush</c:v>
                </c:pt>
                <c:pt idx="1">
                  <c:v>Quench</c:v>
                </c:pt>
                <c:pt idx="2">
                  <c:v>Effluent</c:v>
                </c:pt>
                <c:pt idx="3">
                  <c:v>Cooling Water</c:v>
                </c:pt>
                <c:pt idx="4">
                  <c:v>Nitrogen</c:v>
                </c:pt>
                <c:pt idx="5">
                  <c:v>Product Loss</c:v>
                </c:pt>
                <c:pt idx="6">
                  <c:v>Barrier Fluid</c:v>
                </c:pt>
                <c:pt idx="7">
                  <c:v>Additional</c:v>
                </c:pt>
              </c:strCache>
            </c:strRef>
          </c:cat>
          <c:val>
            <c:numRef>
              <c:f>'OPERATING COSTS'!$I$4:$I$11</c:f>
              <c:numCache>
                <c:formatCode>0.00</c:formatCode>
                <c:ptCount val="8"/>
                <c:pt idx="0">
                  <c:v>0</c:v>
                </c:pt>
                <c:pt idx="1">
                  <c:v>0</c:v>
                </c:pt>
                <c:pt idx="2">
                  <c:v>0</c:v>
                </c:pt>
                <c:pt idx="3">
                  <c:v>0</c:v>
                </c:pt>
                <c:pt idx="4">
                  <c:v>0</c:v>
                </c:pt>
                <c:pt idx="5">
                  <c:v>11.571959999999999</c:v>
                </c:pt>
                <c:pt idx="6">
                  <c:v>0</c:v>
                </c:pt>
                <c:pt idx="7">
                  <c:v>0</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6373973284156116"/>
          <c:y val="0.11567203353312179"/>
          <c:w val="0.22547525164901383"/>
          <c:h val="0.76492694010263629"/>
        </c:manualLayout>
      </c:layout>
      <c:overlay val="0"/>
      <c:txPr>
        <a:bodyPr/>
        <a:lstStyle/>
        <a:p>
          <a:pPr>
            <a:defRPr sz="92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dLbls>
          <c:cat>
            <c:strRef>
              <c:f>'OPERATING COSTS'!$G$4:$G$11</c:f>
              <c:strCache>
                <c:ptCount val="8"/>
                <c:pt idx="0">
                  <c:v>Flush</c:v>
                </c:pt>
                <c:pt idx="1">
                  <c:v>Quench</c:v>
                </c:pt>
                <c:pt idx="2">
                  <c:v>Effluent</c:v>
                </c:pt>
                <c:pt idx="3">
                  <c:v>Cooling Water</c:v>
                </c:pt>
                <c:pt idx="4">
                  <c:v>Nitrogen</c:v>
                </c:pt>
                <c:pt idx="5">
                  <c:v>Product Loss</c:v>
                </c:pt>
                <c:pt idx="6">
                  <c:v>Barrier Fluid</c:v>
                </c:pt>
                <c:pt idx="7">
                  <c:v>Additional</c:v>
                </c:pt>
              </c:strCache>
            </c:strRef>
          </c:cat>
          <c:val>
            <c:numRef>
              <c:f>'OPERATING COSTS'!$K$4:$K$11</c:f>
              <c:numCache>
                <c:formatCode>0.00</c:formatCode>
                <c:ptCount val="8"/>
                <c:pt idx="0">
                  <c:v>26.28</c:v>
                </c:pt>
                <c:pt idx="1">
                  <c:v>0</c:v>
                </c:pt>
                <c:pt idx="2">
                  <c:v>2102.4</c:v>
                </c:pt>
                <c:pt idx="3">
                  <c:v>0</c:v>
                </c:pt>
                <c:pt idx="4">
                  <c:v>0</c:v>
                </c:pt>
                <c:pt idx="5">
                  <c:v>161.98992000000001</c:v>
                </c:pt>
                <c:pt idx="6">
                  <c:v>0</c:v>
                </c:pt>
                <c:pt idx="7">
                  <c:v>0</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6373973284156116"/>
          <c:y val="0.11567203353312179"/>
          <c:w val="0.22547525164901383"/>
          <c:h val="0.76492694010263629"/>
        </c:manualLayout>
      </c:layout>
      <c:overlay val="0"/>
      <c:txPr>
        <a:bodyPr/>
        <a:lstStyle/>
        <a:p>
          <a:pPr>
            <a:defRPr sz="92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7.emf"/><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6.xml"/><Relationship Id="rId4"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1514475</xdr:colOff>
      <xdr:row>1</xdr:row>
      <xdr:rowOff>790575</xdr:rowOff>
    </xdr:to>
    <xdr:pic>
      <xdr:nvPicPr>
        <xdr:cNvPr id="8008"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2066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0</xdr:row>
      <xdr:rowOff>161925</xdr:rowOff>
    </xdr:from>
    <xdr:to>
      <xdr:col>4</xdr:col>
      <xdr:colOff>3781425</xdr:colOff>
      <xdr:row>1</xdr:row>
      <xdr:rowOff>809625</xdr:rowOff>
    </xdr:to>
    <xdr:pic>
      <xdr:nvPicPr>
        <xdr:cNvPr id="8009"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161925"/>
          <a:ext cx="36671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45312</xdr:colOff>
      <xdr:row>7</xdr:row>
      <xdr:rowOff>277257</xdr:rowOff>
    </xdr:from>
    <xdr:to>
      <xdr:col>3</xdr:col>
      <xdr:colOff>40828</xdr:colOff>
      <xdr:row>9</xdr:row>
      <xdr:rowOff>37495</xdr:rowOff>
    </xdr:to>
    <xdr:pic>
      <xdr:nvPicPr>
        <xdr:cNvPr id="8010" name="Picture 1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9458034">
          <a:off x="45312" y="2608081"/>
          <a:ext cx="1317810" cy="2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1514475</xdr:colOff>
      <xdr:row>1</xdr:row>
      <xdr:rowOff>790575</xdr:rowOff>
    </xdr:to>
    <xdr:pic>
      <xdr:nvPicPr>
        <xdr:cNvPr id="8688"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2066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1</xdr:row>
      <xdr:rowOff>0</xdr:rowOff>
    </xdr:from>
    <xdr:to>
      <xdr:col>4</xdr:col>
      <xdr:colOff>3790950</xdr:colOff>
      <xdr:row>1</xdr:row>
      <xdr:rowOff>809625</xdr:rowOff>
    </xdr:to>
    <xdr:pic>
      <xdr:nvPicPr>
        <xdr:cNvPr id="8689"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161925"/>
          <a:ext cx="36766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1514475</xdr:colOff>
      <xdr:row>1</xdr:row>
      <xdr:rowOff>790575</xdr:rowOff>
    </xdr:to>
    <xdr:pic>
      <xdr:nvPicPr>
        <xdr:cNvPr id="1275184"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2066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1</xdr:row>
      <xdr:rowOff>0</xdr:rowOff>
    </xdr:from>
    <xdr:to>
      <xdr:col>4</xdr:col>
      <xdr:colOff>3790950</xdr:colOff>
      <xdr:row>1</xdr:row>
      <xdr:rowOff>809625</xdr:rowOff>
    </xdr:to>
    <xdr:pic>
      <xdr:nvPicPr>
        <xdr:cNvPr id="1275185"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161925"/>
          <a:ext cx="36766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2419350</xdr:colOff>
      <xdr:row>10</xdr:row>
      <xdr:rowOff>9525</xdr:rowOff>
    </xdr:from>
    <xdr:to>
      <xdr:col>4</xdr:col>
      <xdr:colOff>1771650</xdr:colOff>
      <xdr:row>11</xdr:row>
      <xdr:rowOff>0</xdr:rowOff>
    </xdr:to>
    <xdr:pic>
      <xdr:nvPicPr>
        <xdr:cNvPr id="1275186" name="Picture 102" descr="Plan 2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33800" y="3848100"/>
          <a:ext cx="35433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2419350</xdr:colOff>
      <xdr:row>14</xdr:row>
      <xdr:rowOff>9525</xdr:rowOff>
    </xdr:from>
    <xdr:to>
      <xdr:col>4</xdr:col>
      <xdr:colOff>1771650</xdr:colOff>
      <xdr:row>14</xdr:row>
      <xdr:rowOff>1638300</xdr:rowOff>
    </xdr:to>
    <xdr:pic>
      <xdr:nvPicPr>
        <xdr:cNvPr id="1275187" name="Picture 103" descr="Plan 2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33800" y="7058025"/>
          <a:ext cx="3543300"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2466975</xdr:colOff>
      <xdr:row>18</xdr:row>
      <xdr:rowOff>19050</xdr:rowOff>
    </xdr:from>
    <xdr:to>
      <xdr:col>4</xdr:col>
      <xdr:colOff>1733550</xdr:colOff>
      <xdr:row>18</xdr:row>
      <xdr:rowOff>1828800</xdr:rowOff>
    </xdr:to>
    <xdr:pic>
      <xdr:nvPicPr>
        <xdr:cNvPr id="1275188" name="Picture 101" descr="Plan 3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81425" y="9734550"/>
          <a:ext cx="3457575"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2514600</xdr:colOff>
      <xdr:row>27</xdr:row>
      <xdr:rowOff>133350</xdr:rowOff>
    </xdr:from>
    <xdr:to>
      <xdr:col>4</xdr:col>
      <xdr:colOff>990600</xdr:colOff>
      <xdr:row>43</xdr:row>
      <xdr:rowOff>114300</xdr:rowOff>
    </xdr:to>
    <xdr:pic>
      <xdr:nvPicPr>
        <xdr:cNvPr id="1275189" name="Picture 2"/>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9050" y="14258925"/>
          <a:ext cx="2667000"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773207</xdr:colOff>
      <xdr:row>33</xdr:row>
      <xdr:rowOff>35718</xdr:rowOff>
    </xdr:from>
    <xdr:to>
      <xdr:col>4</xdr:col>
      <xdr:colOff>1512795</xdr:colOff>
      <xdr:row>33</xdr:row>
      <xdr:rowOff>35718</xdr:rowOff>
    </xdr:to>
    <xdr:cxnSp macro="">
      <xdr:nvCxnSpPr>
        <xdr:cNvPr id="6" name="Straight Arrow Connector 5"/>
        <xdr:cNvCxnSpPr/>
      </xdr:nvCxnSpPr>
      <xdr:spPr>
        <a:xfrm>
          <a:off x="6286501" y="15679130"/>
          <a:ext cx="739588" cy="0"/>
        </a:xfrm>
        <a:prstGeom prst="straightConnector1">
          <a:avLst/>
        </a:prstGeom>
        <a:ln w="57150">
          <a:solidFill>
            <a:srgbClr val="0070C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779931</xdr:colOff>
      <xdr:row>38</xdr:row>
      <xdr:rowOff>44895</xdr:rowOff>
    </xdr:from>
    <xdr:to>
      <xdr:col>4</xdr:col>
      <xdr:colOff>1519519</xdr:colOff>
      <xdr:row>38</xdr:row>
      <xdr:rowOff>44895</xdr:rowOff>
    </xdr:to>
    <xdr:cxnSp macro="">
      <xdr:nvCxnSpPr>
        <xdr:cNvPr id="13" name="Straight Arrow Connector 12"/>
        <xdr:cNvCxnSpPr/>
      </xdr:nvCxnSpPr>
      <xdr:spPr>
        <a:xfrm>
          <a:off x="6293225" y="16472719"/>
          <a:ext cx="739588" cy="0"/>
        </a:xfrm>
        <a:prstGeom prst="straightConnector1">
          <a:avLst/>
        </a:prstGeom>
        <a:ln w="57150">
          <a:solidFill>
            <a:srgbClr val="0070C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2193073</xdr:colOff>
      <xdr:row>33</xdr:row>
      <xdr:rowOff>33130</xdr:rowOff>
    </xdr:from>
    <xdr:to>
      <xdr:col>3</xdr:col>
      <xdr:colOff>2874615</xdr:colOff>
      <xdr:row>33</xdr:row>
      <xdr:rowOff>33130</xdr:rowOff>
    </xdr:to>
    <xdr:cxnSp macro="">
      <xdr:nvCxnSpPr>
        <xdr:cNvPr id="14" name="Straight Arrow Connector 13"/>
        <xdr:cNvCxnSpPr/>
      </xdr:nvCxnSpPr>
      <xdr:spPr>
        <a:xfrm flipH="1">
          <a:off x="3503341" y="15259191"/>
          <a:ext cx="681542" cy="0"/>
        </a:xfrm>
        <a:prstGeom prst="straightConnector1">
          <a:avLst/>
        </a:prstGeom>
        <a:ln w="57150">
          <a:solidFill>
            <a:srgbClr val="0070C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2196790</xdr:colOff>
      <xdr:row>38</xdr:row>
      <xdr:rowOff>46140</xdr:rowOff>
    </xdr:from>
    <xdr:to>
      <xdr:col>3</xdr:col>
      <xdr:colOff>2878332</xdr:colOff>
      <xdr:row>38</xdr:row>
      <xdr:rowOff>46140</xdr:rowOff>
    </xdr:to>
    <xdr:cxnSp macro="">
      <xdr:nvCxnSpPr>
        <xdr:cNvPr id="21" name="Straight Arrow Connector 20"/>
        <xdr:cNvCxnSpPr/>
      </xdr:nvCxnSpPr>
      <xdr:spPr>
        <a:xfrm flipH="1">
          <a:off x="3507058" y="16038847"/>
          <a:ext cx="681542" cy="0"/>
        </a:xfrm>
        <a:prstGeom prst="straightConnector1">
          <a:avLst/>
        </a:prstGeom>
        <a:ln w="57150">
          <a:solidFill>
            <a:srgbClr val="0070C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3832412</xdr:colOff>
      <xdr:row>41</xdr:row>
      <xdr:rowOff>107674</xdr:rowOff>
    </xdr:from>
    <xdr:to>
      <xdr:col>3</xdr:col>
      <xdr:colOff>4088687</xdr:colOff>
      <xdr:row>46</xdr:row>
      <xdr:rowOff>67236</xdr:rowOff>
    </xdr:to>
    <xdr:cxnSp macro="">
      <xdr:nvCxnSpPr>
        <xdr:cNvPr id="25" name="Straight Arrow Connector 24"/>
        <xdr:cNvCxnSpPr/>
      </xdr:nvCxnSpPr>
      <xdr:spPr>
        <a:xfrm flipH="1">
          <a:off x="5154706" y="16535498"/>
          <a:ext cx="256275" cy="743973"/>
        </a:xfrm>
        <a:prstGeom prst="straightConnector1">
          <a:avLst/>
        </a:prstGeom>
        <a:ln w="127000">
          <a:solidFill>
            <a:srgbClr val="0070C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1120586</xdr:colOff>
      <xdr:row>24</xdr:row>
      <xdr:rowOff>12886</xdr:rowOff>
    </xdr:from>
    <xdr:to>
      <xdr:col>3</xdr:col>
      <xdr:colOff>3809998</xdr:colOff>
      <xdr:row>30</xdr:row>
      <xdr:rowOff>19049</xdr:rowOff>
    </xdr:to>
    <xdr:sp macro="" textlink="">
      <xdr:nvSpPr>
        <xdr:cNvPr id="20" name="TextBox 19"/>
        <xdr:cNvSpPr txBox="1"/>
      </xdr:nvSpPr>
      <xdr:spPr>
        <a:xfrm>
          <a:off x="2435036" y="14300386"/>
          <a:ext cx="2689412" cy="92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a:latin typeface="Tahoma" pitchFamily="34" charset="0"/>
              <a:ea typeface="Tahoma" pitchFamily="34" charset="0"/>
              <a:cs typeface="Tahoma" pitchFamily="34" charset="0"/>
            </a:rPr>
            <a:t>         External Flush</a:t>
          </a:r>
        </a:p>
        <a:p>
          <a:pPr algn="r"/>
          <a:r>
            <a:rPr lang="en-US" sz="1100" b="0">
              <a:latin typeface="Tahoma" pitchFamily="34" charset="0"/>
              <a:ea typeface="Tahoma" pitchFamily="34" charset="0"/>
              <a:cs typeface="Tahoma" pitchFamily="34" charset="0"/>
            </a:rPr>
            <a:t>Packing Flush Fluid Flowrate</a:t>
          </a:r>
        </a:p>
        <a:p>
          <a:pPr algn="r"/>
          <a:r>
            <a:rPr lang="en-US" sz="1100" b="0" i="1">
              <a:latin typeface="Tahoma" pitchFamily="34" charset="0"/>
              <a:ea typeface="Tahoma" pitchFamily="34" charset="0"/>
              <a:cs typeface="Tahoma" pitchFamily="34" charset="0"/>
            </a:rPr>
            <a:t>(Inputs/Outputs Page - Section 6)</a:t>
          </a:r>
        </a:p>
      </xdr:txBody>
    </xdr:sp>
    <xdr:clientData/>
  </xdr:twoCellAnchor>
  <xdr:twoCellAnchor>
    <xdr:from>
      <xdr:col>3</xdr:col>
      <xdr:colOff>3875690</xdr:colOff>
      <xdr:row>24</xdr:row>
      <xdr:rowOff>111673</xdr:rowOff>
    </xdr:from>
    <xdr:to>
      <xdr:col>3</xdr:col>
      <xdr:colOff>4118742</xdr:colOff>
      <xdr:row>30</xdr:row>
      <xdr:rowOff>6569</xdr:rowOff>
    </xdr:to>
    <xdr:cxnSp macro="">
      <xdr:nvCxnSpPr>
        <xdr:cNvPr id="22" name="Straight Arrow Connector 21"/>
        <xdr:cNvCxnSpPr/>
      </xdr:nvCxnSpPr>
      <xdr:spPr>
        <a:xfrm>
          <a:off x="5189483" y="13978759"/>
          <a:ext cx="243052" cy="801413"/>
        </a:xfrm>
        <a:prstGeom prst="straightConnector1">
          <a:avLst/>
        </a:prstGeom>
        <a:ln w="127000">
          <a:solidFill>
            <a:srgbClr val="0070C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1333499</xdr:colOff>
      <xdr:row>33</xdr:row>
      <xdr:rowOff>44822</xdr:rowOff>
    </xdr:from>
    <xdr:to>
      <xdr:col>4</xdr:col>
      <xdr:colOff>3675528</xdr:colOff>
      <xdr:row>39</xdr:row>
      <xdr:rowOff>152399</xdr:rowOff>
    </xdr:to>
    <xdr:sp macro="" textlink="">
      <xdr:nvSpPr>
        <xdr:cNvPr id="30" name="TextBox 29"/>
        <xdr:cNvSpPr txBox="1"/>
      </xdr:nvSpPr>
      <xdr:spPr>
        <a:xfrm>
          <a:off x="6838949" y="15703922"/>
          <a:ext cx="2342029" cy="1021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latin typeface="Tahoma" pitchFamily="34" charset="0"/>
              <a:ea typeface="Tahoma" pitchFamily="34" charset="0"/>
              <a:cs typeface="Tahoma" pitchFamily="34" charset="0"/>
            </a:rPr>
            <a:t>Flush-to-Process Dilution</a:t>
          </a:r>
        </a:p>
        <a:p>
          <a:r>
            <a:rPr lang="en-US" sz="1100" b="0">
              <a:latin typeface="Tahoma" pitchFamily="34" charset="0"/>
              <a:ea typeface="Tahoma" pitchFamily="34" charset="0"/>
              <a:cs typeface="Tahoma" pitchFamily="34" charset="0"/>
            </a:rPr>
            <a:t>Proportion (%) of Flush Flowrate Entering Process</a:t>
          </a:r>
        </a:p>
        <a:p>
          <a:r>
            <a:rPr lang="en-US" sz="1100" b="0" i="1">
              <a:latin typeface="Tahoma" pitchFamily="34" charset="0"/>
              <a:ea typeface="Tahoma" pitchFamily="34" charset="0"/>
              <a:cs typeface="Tahoma" pitchFamily="34" charset="0"/>
            </a:rPr>
            <a:t>(Inputs/Outputs Page - Section 6)</a:t>
          </a:r>
        </a:p>
      </xdr:txBody>
    </xdr:sp>
    <xdr:clientData/>
  </xdr:twoCellAnchor>
  <xdr:twoCellAnchor>
    <xdr:from>
      <xdr:col>3</xdr:col>
      <xdr:colOff>616325</xdr:colOff>
      <xdr:row>34</xdr:row>
      <xdr:rowOff>11206</xdr:rowOff>
    </xdr:from>
    <xdr:to>
      <xdr:col>3</xdr:col>
      <xdr:colOff>2409265</xdr:colOff>
      <xdr:row>39</xdr:row>
      <xdr:rowOff>0</xdr:rowOff>
    </xdr:to>
    <xdr:sp macro="" textlink="">
      <xdr:nvSpPr>
        <xdr:cNvPr id="31" name="TextBox 30"/>
        <xdr:cNvSpPr txBox="1"/>
      </xdr:nvSpPr>
      <xdr:spPr>
        <a:xfrm>
          <a:off x="1930775" y="15822706"/>
          <a:ext cx="1792940" cy="750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latin typeface="Tahoma" pitchFamily="34" charset="0"/>
              <a:ea typeface="Tahoma" pitchFamily="34" charset="0"/>
              <a:cs typeface="Tahoma" pitchFamily="34" charset="0"/>
            </a:rPr>
            <a:t>Packing Leakage Rate</a:t>
          </a:r>
        </a:p>
        <a:p>
          <a:pPr algn="l"/>
          <a:r>
            <a:rPr lang="en-US" sz="1100" b="0" i="1">
              <a:latin typeface="Tahoma" pitchFamily="34" charset="0"/>
              <a:ea typeface="Tahoma" pitchFamily="34" charset="0"/>
              <a:cs typeface="Tahoma" pitchFamily="34" charset="0"/>
            </a:rPr>
            <a:t>(Assumptions Page )</a:t>
          </a:r>
        </a:p>
      </xdr:txBody>
    </xdr:sp>
    <xdr:clientData/>
  </xdr:twoCellAnchor>
  <xdr:twoCellAnchor>
    <xdr:from>
      <xdr:col>3</xdr:col>
      <xdr:colOff>358588</xdr:colOff>
      <xdr:row>43</xdr:row>
      <xdr:rowOff>22412</xdr:rowOff>
    </xdr:from>
    <xdr:to>
      <xdr:col>3</xdr:col>
      <xdr:colOff>3809999</xdr:colOff>
      <xdr:row>49</xdr:row>
      <xdr:rowOff>0</xdr:rowOff>
    </xdr:to>
    <xdr:sp macro="" textlink="">
      <xdr:nvSpPr>
        <xdr:cNvPr id="32" name="TextBox 31"/>
        <xdr:cNvSpPr txBox="1"/>
      </xdr:nvSpPr>
      <xdr:spPr>
        <a:xfrm>
          <a:off x="1673038" y="17205512"/>
          <a:ext cx="3451411" cy="891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a:latin typeface="Tahoma" pitchFamily="34" charset="0"/>
              <a:ea typeface="Tahoma" pitchFamily="34" charset="0"/>
              <a:cs typeface="Tahoma" pitchFamily="34" charset="0"/>
            </a:rPr>
            <a:t>         Flow-Thru Flush</a:t>
          </a:r>
        </a:p>
        <a:p>
          <a:pPr algn="r"/>
          <a:r>
            <a:rPr lang="en-US" sz="1100" b="0">
              <a:solidFill>
                <a:schemeClr val="dk1"/>
              </a:solidFill>
              <a:effectLst/>
              <a:latin typeface="Tahoma" pitchFamily="34" charset="0"/>
              <a:ea typeface="Tahoma" pitchFamily="34" charset="0"/>
              <a:cs typeface="Tahoma" pitchFamily="34" charset="0"/>
            </a:rPr>
            <a:t>Proportion of Flush Flow Remaining (Total</a:t>
          </a:r>
          <a:r>
            <a:rPr lang="en-US" sz="1100" b="0" baseline="0">
              <a:solidFill>
                <a:schemeClr val="dk1"/>
              </a:solidFill>
              <a:effectLst/>
              <a:latin typeface="Tahoma" pitchFamily="34" charset="0"/>
              <a:ea typeface="Tahoma" pitchFamily="34" charset="0"/>
              <a:cs typeface="Tahoma" pitchFamily="34" charset="0"/>
            </a:rPr>
            <a:t> Flowrate Less Leakage and Flush-to-Process Dilution)</a:t>
          </a:r>
          <a:endParaRPr lang="en-US">
            <a:effectLst/>
            <a:latin typeface="Tahoma" pitchFamily="34" charset="0"/>
            <a:ea typeface="Tahoma" pitchFamily="34" charset="0"/>
            <a:cs typeface="Tahoma" pitchFamily="34" charset="0"/>
          </a:endParaRPr>
        </a:p>
        <a:p>
          <a:pPr algn="r"/>
          <a:r>
            <a:rPr lang="en-US" sz="1100" b="0" i="1">
              <a:latin typeface="Tahoma" pitchFamily="34" charset="0"/>
              <a:ea typeface="Tahoma" pitchFamily="34" charset="0"/>
              <a:cs typeface="Tahoma" pitchFamily="34" charset="0"/>
            </a:rPr>
            <a:t>(Treated as Effluent)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152400</xdr:colOff>
      <xdr:row>1</xdr:row>
      <xdr:rowOff>790575</xdr:rowOff>
    </xdr:to>
    <xdr:pic>
      <xdr:nvPicPr>
        <xdr:cNvPr id="878044"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180975"/>
          <a:ext cx="20764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240</xdr:row>
      <xdr:rowOff>0</xdr:rowOff>
    </xdr:from>
    <xdr:to>
      <xdr:col>4</xdr:col>
      <xdr:colOff>152400</xdr:colOff>
      <xdr:row>240</xdr:row>
      <xdr:rowOff>790575</xdr:rowOff>
    </xdr:to>
    <xdr:pic>
      <xdr:nvPicPr>
        <xdr:cNvPr id="878045"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4650700"/>
          <a:ext cx="20764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447675</xdr:colOff>
          <xdr:row>305</xdr:row>
          <xdr:rowOff>152400</xdr:rowOff>
        </xdr:from>
        <xdr:to>
          <xdr:col>9</xdr:col>
          <xdr:colOff>247650</xdr:colOff>
          <xdr:row>309</xdr:row>
          <xdr:rowOff>66675</xdr:rowOff>
        </xdr:to>
        <xdr:sp macro="" textlink="">
          <xdr:nvSpPr>
            <xdr:cNvPr id="1138" name="Object 114" hidden="1">
              <a:extLst>
                <a:ext uri="{63B3BB69-23CF-44E3-9099-C40C66FF867C}">
                  <a14:compatExt spid="_x0000_s1138"/>
                </a:ext>
              </a:extLst>
            </xdr:cNvPr>
            <xdr:cNvSpPr/>
          </xdr:nvSpPr>
          <xdr:spPr>
            <a:xfrm>
              <a:off x="0" y="0"/>
              <a:ext cx="0" cy="0"/>
            </a:xfrm>
            <a:prstGeom prst="rect">
              <a:avLst/>
            </a:prstGeom>
          </xdr:spPr>
        </xdr:sp>
        <xdr:clientData/>
      </xdr:twoCellAnchor>
    </mc:Choice>
    <mc:Fallback/>
  </mc:AlternateContent>
  <xdr:twoCellAnchor editAs="oneCell">
    <xdr:from>
      <xdr:col>10</xdr:col>
      <xdr:colOff>600075</xdr:colOff>
      <xdr:row>1</xdr:row>
      <xdr:rowOff>0</xdr:rowOff>
    </xdr:from>
    <xdr:to>
      <xdr:col>15</xdr:col>
      <xdr:colOff>28575</xdr:colOff>
      <xdr:row>1</xdr:row>
      <xdr:rowOff>809625</xdr:rowOff>
    </xdr:to>
    <xdr:pic>
      <xdr:nvPicPr>
        <xdr:cNvPr id="878046"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0" y="180975"/>
          <a:ext cx="36957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600075</xdr:colOff>
      <xdr:row>240</xdr:row>
      <xdr:rowOff>0</xdr:rowOff>
    </xdr:from>
    <xdr:to>
      <xdr:col>15</xdr:col>
      <xdr:colOff>28575</xdr:colOff>
      <xdr:row>240</xdr:row>
      <xdr:rowOff>809625</xdr:rowOff>
    </xdr:to>
    <xdr:pic>
      <xdr:nvPicPr>
        <xdr:cNvPr id="878047"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0" y="24650700"/>
          <a:ext cx="36957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514350</xdr:colOff>
      <xdr:row>1</xdr:row>
      <xdr:rowOff>0</xdr:rowOff>
    </xdr:from>
    <xdr:to>
      <xdr:col>3</xdr:col>
      <xdr:colOff>552450</xdr:colOff>
      <xdr:row>1</xdr:row>
      <xdr:rowOff>790575</xdr:rowOff>
    </xdr:to>
    <xdr:pic>
      <xdr:nvPicPr>
        <xdr:cNvPr id="2653"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80975"/>
          <a:ext cx="20574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495300</xdr:colOff>
      <xdr:row>1</xdr:row>
      <xdr:rowOff>0</xdr:rowOff>
    </xdr:from>
    <xdr:to>
      <xdr:col>13</xdr:col>
      <xdr:colOff>0</xdr:colOff>
      <xdr:row>1</xdr:row>
      <xdr:rowOff>809625</xdr:rowOff>
    </xdr:to>
    <xdr:pic>
      <xdr:nvPicPr>
        <xdr:cNvPr id="2654"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86450" y="180975"/>
          <a:ext cx="36957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1514475</xdr:colOff>
      <xdr:row>1</xdr:row>
      <xdr:rowOff>790575</xdr:rowOff>
    </xdr:to>
    <xdr:pic>
      <xdr:nvPicPr>
        <xdr:cNvPr id="1263717"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0975"/>
          <a:ext cx="2066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1</xdr:row>
      <xdr:rowOff>0</xdr:rowOff>
    </xdr:from>
    <xdr:to>
      <xdr:col>4</xdr:col>
      <xdr:colOff>3790950</xdr:colOff>
      <xdr:row>1</xdr:row>
      <xdr:rowOff>809625</xdr:rowOff>
    </xdr:to>
    <xdr:pic>
      <xdr:nvPicPr>
        <xdr:cNvPr id="1263718"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180975"/>
          <a:ext cx="36766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29</xdr:row>
      <xdr:rowOff>0</xdr:rowOff>
    </xdr:from>
    <xdr:to>
      <xdr:col>4</xdr:col>
      <xdr:colOff>1990725</xdr:colOff>
      <xdr:row>44</xdr:row>
      <xdr:rowOff>123825</xdr:rowOff>
    </xdr:to>
    <xdr:graphicFrame macro="">
      <xdr:nvGraphicFramePr>
        <xdr:cNvPr id="126371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8</xdr:row>
      <xdr:rowOff>0</xdr:rowOff>
    </xdr:from>
    <xdr:to>
      <xdr:col>4</xdr:col>
      <xdr:colOff>1990725</xdr:colOff>
      <xdr:row>23</xdr:row>
      <xdr:rowOff>123825</xdr:rowOff>
    </xdr:to>
    <xdr:graphicFrame macro="">
      <xdr:nvGraphicFramePr>
        <xdr:cNvPr id="1263720"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48</xdr:row>
      <xdr:rowOff>0</xdr:rowOff>
    </xdr:from>
    <xdr:to>
      <xdr:col>4</xdr:col>
      <xdr:colOff>1990725</xdr:colOff>
      <xdr:row>63</xdr:row>
      <xdr:rowOff>123825</xdr:rowOff>
    </xdr:to>
    <xdr:graphicFrame macro="">
      <xdr:nvGraphicFramePr>
        <xdr:cNvPr id="1263721"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1514475</xdr:colOff>
      <xdr:row>1</xdr:row>
      <xdr:rowOff>790575</xdr:rowOff>
    </xdr:to>
    <xdr:pic>
      <xdr:nvPicPr>
        <xdr:cNvPr id="1291347"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0975"/>
          <a:ext cx="2066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1</xdr:row>
      <xdr:rowOff>0</xdr:rowOff>
    </xdr:from>
    <xdr:to>
      <xdr:col>4</xdr:col>
      <xdr:colOff>3790950</xdr:colOff>
      <xdr:row>1</xdr:row>
      <xdr:rowOff>809625</xdr:rowOff>
    </xdr:to>
    <xdr:pic>
      <xdr:nvPicPr>
        <xdr:cNvPr id="1291348"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180975"/>
          <a:ext cx="36766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29</xdr:row>
      <xdr:rowOff>0</xdr:rowOff>
    </xdr:from>
    <xdr:to>
      <xdr:col>4</xdr:col>
      <xdr:colOff>1990725</xdr:colOff>
      <xdr:row>44</xdr:row>
      <xdr:rowOff>123825</xdr:rowOff>
    </xdr:to>
    <xdr:graphicFrame macro="">
      <xdr:nvGraphicFramePr>
        <xdr:cNvPr id="129134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8</xdr:row>
      <xdr:rowOff>0</xdr:rowOff>
    </xdr:from>
    <xdr:to>
      <xdr:col>4</xdr:col>
      <xdr:colOff>1990725</xdr:colOff>
      <xdr:row>23</xdr:row>
      <xdr:rowOff>123825</xdr:rowOff>
    </xdr:to>
    <xdr:graphicFrame macro="">
      <xdr:nvGraphicFramePr>
        <xdr:cNvPr id="1291350"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48</xdr:row>
      <xdr:rowOff>0</xdr:rowOff>
    </xdr:from>
    <xdr:to>
      <xdr:col>4</xdr:col>
      <xdr:colOff>1990725</xdr:colOff>
      <xdr:row>63</xdr:row>
      <xdr:rowOff>123825</xdr:rowOff>
    </xdr:to>
    <xdr:graphicFrame macro="">
      <xdr:nvGraphicFramePr>
        <xdr:cNvPr id="1291351"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2057400</xdr:colOff>
      <xdr:row>1</xdr:row>
      <xdr:rowOff>800100</xdr:rowOff>
    </xdr:to>
    <xdr:pic>
      <xdr:nvPicPr>
        <xdr:cNvPr id="1307870"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71450"/>
          <a:ext cx="20574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428625</xdr:colOff>
      <xdr:row>1</xdr:row>
      <xdr:rowOff>9525</xdr:rowOff>
    </xdr:from>
    <xdr:to>
      <xdr:col>6</xdr:col>
      <xdr:colOff>895350</xdr:colOff>
      <xdr:row>1</xdr:row>
      <xdr:rowOff>819150</xdr:rowOff>
    </xdr:to>
    <xdr:pic>
      <xdr:nvPicPr>
        <xdr:cNvPr id="1307871"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0225" y="171450"/>
          <a:ext cx="36766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1762125</xdr:colOff>
      <xdr:row>6</xdr:row>
      <xdr:rowOff>9525</xdr:rowOff>
    </xdr:from>
    <xdr:to>
      <xdr:col>5</xdr:col>
      <xdr:colOff>171450</xdr:colOff>
      <xdr:row>25</xdr:row>
      <xdr:rowOff>123825</xdr:rowOff>
    </xdr:to>
    <xdr:pic>
      <xdr:nvPicPr>
        <xdr:cNvPr id="1307872"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24125" y="2138643"/>
          <a:ext cx="5413001" cy="3095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3858829</xdr:colOff>
      <xdr:row>14</xdr:row>
      <xdr:rowOff>59231</xdr:rowOff>
    </xdr:from>
    <xdr:to>
      <xdr:col>2</xdr:col>
      <xdr:colOff>447147</xdr:colOff>
      <xdr:row>17</xdr:row>
      <xdr:rowOff>48097</xdr:rowOff>
    </xdr:to>
    <xdr:sp macro="" textlink="">
      <xdr:nvSpPr>
        <xdr:cNvPr id="5" name="TextBox 4"/>
        <xdr:cNvSpPr txBox="1"/>
      </xdr:nvSpPr>
      <xdr:spPr>
        <a:xfrm>
          <a:off x="4620829" y="3443407"/>
          <a:ext cx="1003436" cy="459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a:latin typeface="Tahoma" pitchFamily="34" charset="0"/>
              <a:ea typeface="Tahoma" pitchFamily="34" charset="0"/>
              <a:cs typeface="Tahoma" pitchFamily="34" charset="0"/>
            </a:rPr>
            <a:t>Pressure</a:t>
          </a:r>
          <a:r>
            <a:rPr lang="en-US" sz="1100" b="1" i="0" baseline="0">
              <a:latin typeface="Tahoma" pitchFamily="34" charset="0"/>
              <a:ea typeface="Tahoma" pitchFamily="34" charset="0"/>
              <a:cs typeface="Tahoma" pitchFamily="34" charset="0"/>
            </a:rPr>
            <a:t> P</a:t>
          </a:r>
          <a:r>
            <a:rPr lang="en-US" sz="1100" b="1" i="0" baseline="-25000">
              <a:latin typeface="Tahoma" pitchFamily="34" charset="0"/>
              <a:ea typeface="Tahoma" pitchFamily="34" charset="0"/>
              <a:cs typeface="Tahoma" pitchFamily="34" charset="0"/>
            </a:rPr>
            <a:t>1</a:t>
          </a:r>
          <a:endParaRPr lang="en-US" sz="1100" b="0" i="0" baseline="-25000">
            <a:latin typeface="Tahoma" pitchFamily="34" charset="0"/>
            <a:ea typeface="Tahoma" pitchFamily="34" charset="0"/>
            <a:cs typeface="Tahoma" pitchFamily="34" charset="0"/>
          </a:endParaRPr>
        </a:p>
      </xdr:txBody>
    </xdr:sp>
    <xdr:clientData/>
  </xdr:twoCellAnchor>
  <xdr:twoCellAnchor>
    <xdr:from>
      <xdr:col>1</xdr:col>
      <xdr:colOff>2377107</xdr:colOff>
      <xdr:row>9</xdr:row>
      <xdr:rowOff>140804</xdr:rowOff>
    </xdr:from>
    <xdr:to>
      <xdr:col>1</xdr:col>
      <xdr:colOff>3374786</xdr:colOff>
      <xdr:row>12</xdr:row>
      <xdr:rowOff>130264</xdr:rowOff>
    </xdr:to>
    <xdr:sp macro="" textlink="">
      <xdr:nvSpPr>
        <xdr:cNvPr id="6" name="TextBox 5"/>
        <xdr:cNvSpPr txBox="1"/>
      </xdr:nvSpPr>
      <xdr:spPr>
        <a:xfrm>
          <a:off x="3139107" y="3155674"/>
          <a:ext cx="997679" cy="43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a:latin typeface="Tahoma" pitchFamily="34" charset="0"/>
              <a:ea typeface="Tahoma" pitchFamily="34" charset="0"/>
              <a:cs typeface="Tahoma" pitchFamily="34" charset="0"/>
            </a:rPr>
            <a:t>Bushing</a:t>
          </a:r>
        </a:p>
        <a:p>
          <a:pPr algn="ctr"/>
          <a:r>
            <a:rPr lang="en-US" sz="1100" b="1" i="0">
              <a:latin typeface="Tahoma" pitchFamily="34" charset="0"/>
              <a:ea typeface="Tahoma" pitchFamily="34" charset="0"/>
              <a:cs typeface="Tahoma" pitchFamily="34" charset="0"/>
            </a:rPr>
            <a:t>Length</a:t>
          </a:r>
          <a:endParaRPr lang="en-US" sz="1100" b="0" i="0">
            <a:latin typeface="Tahoma" pitchFamily="34" charset="0"/>
            <a:ea typeface="Tahoma" pitchFamily="34" charset="0"/>
            <a:cs typeface="Tahoma" pitchFamily="34" charset="0"/>
          </a:endParaRPr>
        </a:p>
      </xdr:txBody>
    </xdr:sp>
    <xdr:clientData/>
  </xdr:twoCellAnchor>
  <xdr:twoCellAnchor>
    <xdr:from>
      <xdr:col>1</xdr:col>
      <xdr:colOff>1117880</xdr:colOff>
      <xdr:row>17</xdr:row>
      <xdr:rowOff>139211</xdr:rowOff>
    </xdr:from>
    <xdr:to>
      <xdr:col>1</xdr:col>
      <xdr:colOff>2126045</xdr:colOff>
      <xdr:row>20</xdr:row>
      <xdr:rowOff>123892</xdr:rowOff>
    </xdr:to>
    <xdr:sp macro="" textlink="">
      <xdr:nvSpPr>
        <xdr:cNvPr id="7" name="TextBox 6"/>
        <xdr:cNvSpPr txBox="1"/>
      </xdr:nvSpPr>
      <xdr:spPr>
        <a:xfrm>
          <a:off x="1879880" y="4418134"/>
          <a:ext cx="1008165" cy="446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a:latin typeface="Tahoma" pitchFamily="34" charset="0"/>
              <a:ea typeface="Tahoma" pitchFamily="34" charset="0"/>
              <a:cs typeface="Tahoma" pitchFamily="34" charset="0"/>
            </a:rPr>
            <a:t>Pressure</a:t>
          </a:r>
          <a:r>
            <a:rPr lang="en-US" sz="1100" b="1" i="0" baseline="0">
              <a:latin typeface="Tahoma" pitchFamily="34" charset="0"/>
              <a:ea typeface="Tahoma" pitchFamily="34" charset="0"/>
              <a:cs typeface="Tahoma" pitchFamily="34" charset="0"/>
            </a:rPr>
            <a:t> P</a:t>
          </a:r>
          <a:r>
            <a:rPr lang="en-US" sz="1100" b="1" i="0" baseline="-25000">
              <a:latin typeface="Tahoma" pitchFamily="34" charset="0"/>
              <a:ea typeface="Tahoma" pitchFamily="34" charset="0"/>
              <a:cs typeface="Tahoma" pitchFamily="34" charset="0"/>
            </a:rPr>
            <a:t>2</a:t>
          </a:r>
          <a:endParaRPr lang="en-US" sz="1100" b="0" i="0" baseline="-25000">
            <a:latin typeface="Tahoma" pitchFamily="34" charset="0"/>
            <a:ea typeface="Tahoma" pitchFamily="34" charset="0"/>
            <a:cs typeface="Tahoma" pitchFamily="34" charset="0"/>
          </a:endParaRPr>
        </a:p>
      </xdr:txBody>
    </xdr:sp>
    <xdr:clientData/>
  </xdr:twoCellAnchor>
  <xdr:twoCellAnchor>
    <xdr:from>
      <xdr:col>1</xdr:col>
      <xdr:colOff>2936733</xdr:colOff>
      <xdr:row>27</xdr:row>
      <xdr:rowOff>27605</xdr:rowOff>
    </xdr:from>
    <xdr:to>
      <xdr:col>1</xdr:col>
      <xdr:colOff>3933612</xdr:colOff>
      <xdr:row>30</xdr:row>
      <xdr:rowOff>0</xdr:rowOff>
    </xdr:to>
    <xdr:sp macro="" textlink="">
      <xdr:nvSpPr>
        <xdr:cNvPr id="8" name="TextBox 7"/>
        <xdr:cNvSpPr txBox="1"/>
      </xdr:nvSpPr>
      <xdr:spPr>
        <a:xfrm>
          <a:off x="3698733" y="5845182"/>
          <a:ext cx="996879" cy="444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a:latin typeface="Tahoma" pitchFamily="34" charset="0"/>
              <a:ea typeface="Tahoma" pitchFamily="34" charset="0"/>
              <a:cs typeface="Tahoma" pitchFamily="34" charset="0"/>
            </a:rPr>
            <a:t>Bushing ID</a:t>
          </a:r>
          <a:endParaRPr lang="en-US" sz="1100" b="0" i="0" baseline="-25000">
            <a:latin typeface="Tahoma" pitchFamily="34" charset="0"/>
            <a:ea typeface="Tahoma" pitchFamily="34" charset="0"/>
            <a:cs typeface="Tahoma" pitchFamily="34" charset="0"/>
          </a:endParaRPr>
        </a:p>
      </xdr:txBody>
    </xdr:sp>
    <xdr:clientData/>
  </xdr:twoCellAnchor>
  <xdr:twoCellAnchor>
    <xdr:from>
      <xdr:col>1</xdr:col>
      <xdr:colOff>1583509</xdr:colOff>
      <xdr:row>20</xdr:row>
      <xdr:rowOff>54431</xdr:rowOff>
    </xdr:from>
    <xdr:to>
      <xdr:col>1</xdr:col>
      <xdr:colOff>1584383</xdr:colOff>
      <xdr:row>28</xdr:row>
      <xdr:rowOff>4645</xdr:rowOff>
    </xdr:to>
    <xdr:cxnSp macro="">
      <xdr:nvCxnSpPr>
        <xdr:cNvPr id="11" name="Straight Arrow Connector 10"/>
        <xdr:cNvCxnSpPr/>
      </xdr:nvCxnSpPr>
      <xdr:spPr>
        <a:xfrm flipH="1" flipV="1">
          <a:off x="2345509" y="4709257"/>
          <a:ext cx="874" cy="1142910"/>
        </a:xfrm>
        <a:prstGeom prst="straightConnector1">
          <a:avLst/>
        </a:prstGeom>
        <a:ln w="31750">
          <a:solidFill>
            <a:srgbClr val="0070C0"/>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3429441</xdr:colOff>
      <xdr:row>20</xdr:row>
      <xdr:rowOff>11208</xdr:rowOff>
    </xdr:from>
    <xdr:to>
      <xdr:col>1</xdr:col>
      <xdr:colOff>3429441</xdr:colOff>
      <xdr:row>27</xdr:row>
      <xdr:rowOff>148683</xdr:rowOff>
    </xdr:to>
    <xdr:cxnSp macro="">
      <xdr:nvCxnSpPr>
        <xdr:cNvPr id="12" name="Straight Arrow Connector 11"/>
        <xdr:cNvCxnSpPr/>
      </xdr:nvCxnSpPr>
      <xdr:spPr>
        <a:xfrm flipV="1">
          <a:off x="4191441" y="4751727"/>
          <a:ext cx="0" cy="1214533"/>
        </a:xfrm>
        <a:prstGeom prst="straightConnector1">
          <a:avLst/>
        </a:prstGeom>
        <a:ln w="31750">
          <a:solidFill>
            <a:srgbClr val="0070C0"/>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1086351</xdr:colOff>
      <xdr:row>27</xdr:row>
      <xdr:rowOff>119471</xdr:rowOff>
    </xdr:from>
    <xdr:to>
      <xdr:col>1</xdr:col>
      <xdr:colOff>2090806</xdr:colOff>
      <xdr:row>30</xdr:row>
      <xdr:rowOff>0</xdr:rowOff>
    </xdr:to>
    <xdr:sp macro="" textlink="">
      <xdr:nvSpPr>
        <xdr:cNvPr id="23" name="TextBox 22"/>
        <xdr:cNvSpPr txBox="1"/>
      </xdr:nvSpPr>
      <xdr:spPr>
        <a:xfrm>
          <a:off x="1848351" y="5817906"/>
          <a:ext cx="1004455" cy="430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a:latin typeface="Tahoma" pitchFamily="34" charset="0"/>
              <a:ea typeface="Tahoma" pitchFamily="34" charset="0"/>
              <a:cs typeface="Tahoma" pitchFamily="34" charset="0"/>
            </a:rPr>
            <a:t>Shaft OD</a:t>
          </a:r>
        </a:p>
        <a:p>
          <a:pPr algn="ctr"/>
          <a:endParaRPr lang="en-US" sz="1100" b="0" i="0" baseline="-25000">
            <a:latin typeface="Tahoma" pitchFamily="34" charset="0"/>
            <a:ea typeface="Tahoma" pitchFamily="34" charset="0"/>
            <a:cs typeface="Tahoma" pitchFamily="34" charset="0"/>
          </a:endParaRPr>
        </a:p>
      </xdr:txBody>
    </xdr:sp>
    <xdr:clientData/>
  </xdr:twoCellAnchor>
  <xdr:twoCellAnchor>
    <xdr:from>
      <xdr:col>1</xdr:col>
      <xdr:colOff>2447204</xdr:colOff>
      <xdr:row>13</xdr:row>
      <xdr:rowOff>12180</xdr:rowOff>
    </xdr:from>
    <xdr:to>
      <xdr:col>1</xdr:col>
      <xdr:colOff>3272790</xdr:colOff>
      <xdr:row>13</xdr:row>
      <xdr:rowOff>12180</xdr:rowOff>
    </xdr:to>
    <xdr:cxnSp macro="">
      <xdr:nvCxnSpPr>
        <xdr:cNvPr id="24" name="Straight Arrow Connector 23"/>
        <xdr:cNvCxnSpPr/>
      </xdr:nvCxnSpPr>
      <xdr:spPr>
        <a:xfrm flipH="1">
          <a:off x="3209204" y="3662160"/>
          <a:ext cx="825586" cy="0"/>
        </a:xfrm>
        <a:prstGeom prst="straightConnector1">
          <a:avLst/>
        </a:prstGeom>
        <a:ln w="31750">
          <a:solidFill>
            <a:srgbClr val="0070C0"/>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2446020</xdr:colOff>
      <xdr:row>11</xdr:row>
      <xdr:rowOff>140970</xdr:rowOff>
    </xdr:from>
    <xdr:to>
      <xdr:col>1</xdr:col>
      <xdr:colOff>2446020</xdr:colOff>
      <xdr:row>14</xdr:row>
      <xdr:rowOff>110490</xdr:rowOff>
    </xdr:to>
    <xdr:cxnSp macro="">
      <xdr:nvCxnSpPr>
        <xdr:cNvPr id="33" name="Straight Connector 32"/>
        <xdr:cNvCxnSpPr/>
      </xdr:nvCxnSpPr>
      <xdr:spPr>
        <a:xfrm flipV="1">
          <a:off x="3208020" y="3486150"/>
          <a:ext cx="0" cy="426720"/>
        </a:xfrm>
        <a:prstGeom prst="line">
          <a:avLst/>
        </a:prstGeom>
        <a:ln w="317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3268980</xdr:colOff>
      <xdr:row>11</xdr:row>
      <xdr:rowOff>140970</xdr:rowOff>
    </xdr:from>
    <xdr:to>
      <xdr:col>1</xdr:col>
      <xdr:colOff>3268980</xdr:colOff>
      <xdr:row>14</xdr:row>
      <xdr:rowOff>110490</xdr:rowOff>
    </xdr:to>
    <xdr:cxnSp macro="">
      <xdr:nvCxnSpPr>
        <xdr:cNvPr id="34" name="Straight Connector 33"/>
        <xdr:cNvCxnSpPr/>
      </xdr:nvCxnSpPr>
      <xdr:spPr>
        <a:xfrm flipV="1">
          <a:off x="4030980" y="3486150"/>
          <a:ext cx="0" cy="426720"/>
        </a:xfrm>
        <a:prstGeom prst="line">
          <a:avLst/>
        </a:prstGeom>
        <a:ln w="317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3267808</xdr:colOff>
      <xdr:row>20</xdr:row>
      <xdr:rowOff>14654</xdr:rowOff>
    </xdr:from>
    <xdr:to>
      <xdr:col>1</xdr:col>
      <xdr:colOff>3553558</xdr:colOff>
      <xdr:row>20</xdr:row>
      <xdr:rowOff>14654</xdr:rowOff>
    </xdr:to>
    <xdr:cxnSp macro="">
      <xdr:nvCxnSpPr>
        <xdr:cNvPr id="38" name="Straight Connector 37"/>
        <xdr:cNvCxnSpPr/>
      </xdr:nvCxnSpPr>
      <xdr:spPr>
        <a:xfrm>
          <a:off x="4029808" y="4755173"/>
          <a:ext cx="285750" cy="0"/>
        </a:xfrm>
        <a:prstGeom prst="line">
          <a:avLst/>
        </a:prstGeom>
        <a:ln w="317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1414096</xdr:colOff>
      <xdr:row>20</xdr:row>
      <xdr:rowOff>71804</xdr:rowOff>
    </xdr:from>
    <xdr:to>
      <xdr:col>1</xdr:col>
      <xdr:colOff>1881554</xdr:colOff>
      <xdr:row>20</xdr:row>
      <xdr:rowOff>71804</xdr:rowOff>
    </xdr:to>
    <xdr:cxnSp macro="">
      <xdr:nvCxnSpPr>
        <xdr:cNvPr id="39" name="Straight Connector 38"/>
        <xdr:cNvCxnSpPr/>
      </xdr:nvCxnSpPr>
      <xdr:spPr>
        <a:xfrm>
          <a:off x="2176096" y="4812323"/>
          <a:ext cx="467458" cy="0"/>
        </a:xfrm>
        <a:prstGeom prst="line">
          <a:avLst/>
        </a:prstGeom>
        <a:ln w="317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466725</xdr:colOff>
      <xdr:row>1</xdr:row>
      <xdr:rowOff>790575</xdr:rowOff>
    </xdr:to>
    <xdr:pic>
      <xdr:nvPicPr>
        <xdr:cNvPr id="617723" name="Picture 1" descr="fsalog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2066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114300</xdr:colOff>
      <xdr:row>1</xdr:row>
      <xdr:rowOff>0</xdr:rowOff>
    </xdr:from>
    <xdr:to>
      <xdr:col>7</xdr:col>
      <xdr:colOff>3790950</xdr:colOff>
      <xdr:row>1</xdr:row>
      <xdr:rowOff>809625</xdr:rowOff>
    </xdr:to>
    <xdr:pic>
      <xdr:nvPicPr>
        <xdr:cNvPr id="617724" name="Picture 349" descr="esa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0" y="161925"/>
          <a:ext cx="36766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8.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E65"/>
  <sheetViews>
    <sheetView showGridLines="0" showRowColHeaders="0" tabSelected="1" zoomScale="85" zoomScaleNormal="85" zoomScaleSheetLayoutView="85" workbookViewId="0"/>
  </sheetViews>
  <sheetFormatPr defaultRowHeight="12.75" x14ac:dyDescent="0.2"/>
  <cols>
    <col min="1" max="1" width="11.42578125" customWidth="1"/>
    <col min="2" max="3" width="4.140625" customWidth="1"/>
    <col min="4" max="4" width="62.85546875" customWidth="1"/>
    <col min="5" max="5" width="57" customWidth="1"/>
  </cols>
  <sheetData>
    <row r="2" spans="1:5" ht="93.75" customHeight="1" x14ac:dyDescent="0.2">
      <c r="E2" s="29"/>
    </row>
    <row r="3" spans="1:5" ht="25.5" x14ac:dyDescent="0.35">
      <c r="B3" s="28" t="s">
        <v>774</v>
      </c>
      <c r="C3" s="28"/>
    </row>
    <row r="6" spans="1:5" ht="15" x14ac:dyDescent="0.2">
      <c r="B6" s="30" t="s">
        <v>790</v>
      </c>
      <c r="C6" s="30"/>
    </row>
    <row r="7" spans="1:5" ht="12" customHeight="1" x14ac:dyDescent="0.2">
      <c r="B7" s="30"/>
      <c r="C7" s="30"/>
    </row>
    <row r="8" spans="1:5" ht="30" customHeight="1" x14ac:dyDescent="0.2">
      <c r="A8" s="27"/>
      <c r="D8" s="380" t="s">
        <v>540</v>
      </c>
      <c r="E8" s="380"/>
    </row>
    <row r="9" spans="1:5" ht="12" customHeight="1" x14ac:dyDescent="0.2">
      <c r="A9" s="27"/>
      <c r="D9" s="31"/>
      <c r="E9" s="31"/>
    </row>
    <row r="10" spans="1:5" ht="14.25" customHeight="1" x14ac:dyDescent="0.2">
      <c r="A10" s="27"/>
      <c r="D10" s="380" t="s">
        <v>682</v>
      </c>
      <c r="E10" s="380"/>
    </row>
    <row r="11" spans="1:5" ht="12" customHeight="1" x14ac:dyDescent="0.2">
      <c r="A11" s="27"/>
      <c r="D11" s="31"/>
      <c r="E11" s="31"/>
    </row>
    <row r="12" spans="1:5" ht="30" customHeight="1" x14ac:dyDescent="0.2">
      <c r="D12" s="380" t="s">
        <v>767</v>
      </c>
      <c r="E12" s="380"/>
    </row>
    <row r="13" spans="1:5" ht="12" customHeight="1" x14ac:dyDescent="0.2">
      <c r="D13" s="31"/>
      <c r="E13" s="31"/>
    </row>
    <row r="14" spans="1:5" ht="30" customHeight="1" x14ac:dyDescent="0.2">
      <c r="D14" s="380" t="s">
        <v>768</v>
      </c>
      <c r="E14" s="380"/>
    </row>
    <row r="15" spans="1:5" ht="12.75" customHeight="1" x14ac:dyDescent="0.2">
      <c r="D15" s="365"/>
      <c r="E15" s="365"/>
    </row>
    <row r="16" spans="1:5" ht="14.25" x14ac:dyDescent="0.2">
      <c r="D16" s="380" t="s">
        <v>775</v>
      </c>
      <c r="E16" s="380"/>
    </row>
    <row r="17" spans="2:5" ht="12.75" customHeight="1" x14ac:dyDescent="0.2">
      <c r="D17" s="357"/>
      <c r="E17" s="357"/>
    </row>
    <row r="18" spans="2:5" ht="12" customHeight="1" x14ac:dyDescent="0.2">
      <c r="D18" s="33"/>
      <c r="E18" s="33"/>
    </row>
    <row r="19" spans="2:5" ht="15" x14ac:dyDescent="0.2">
      <c r="B19" s="30" t="s">
        <v>518</v>
      </c>
      <c r="C19" s="30"/>
      <c r="D19" s="33"/>
      <c r="E19" s="33"/>
    </row>
    <row r="20" spans="2:5" ht="12" customHeight="1" x14ac:dyDescent="0.2">
      <c r="B20" s="30"/>
      <c r="C20" s="30"/>
      <c r="D20" s="33"/>
      <c r="E20" s="33"/>
    </row>
    <row r="21" spans="2:5" ht="14.25" x14ac:dyDescent="0.2">
      <c r="C21" s="31" t="s">
        <v>520</v>
      </c>
      <c r="D21" s="380" t="s">
        <v>521</v>
      </c>
      <c r="E21" s="380"/>
    </row>
    <row r="22" spans="2:5" ht="14.25" x14ac:dyDescent="0.2">
      <c r="C22" s="31" t="s">
        <v>530</v>
      </c>
      <c r="D22" s="380" t="s">
        <v>522</v>
      </c>
      <c r="E22" s="380"/>
    </row>
    <row r="23" spans="2:5" ht="14.25" x14ac:dyDescent="0.2">
      <c r="C23" s="31" t="s">
        <v>531</v>
      </c>
      <c r="D23" s="380" t="s">
        <v>523</v>
      </c>
      <c r="E23" s="380"/>
    </row>
    <row r="24" spans="2:5" ht="14.25" x14ac:dyDescent="0.2">
      <c r="C24" s="31"/>
      <c r="D24" s="380" t="s">
        <v>524</v>
      </c>
      <c r="E24" s="380"/>
    </row>
    <row r="25" spans="2:5" ht="14.25" x14ac:dyDescent="0.2">
      <c r="C25" s="31"/>
      <c r="D25" s="380" t="s">
        <v>519</v>
      </c>
      <c r="E25" s="380"/>
    </row>
    <row r="26" spans="2:5" ht="14.25" x14ac:dyDescent="0.2">
      <c r="C26" s="31" t="s">
        <v>532</v>
      </c>
      <c r="D26" s="380" t="s">
        <v>525</v>
      </c>
      <c r="E26" s="380"/>
    </row>
    <row r="27" spans="2:5" ht="14.25" x14ac:dyDescent="0.2">
      <c r="C27" s="31" t="s">
        <v>533</v>
      </c>
      <c r="D27" s="380" t="s">
        <v>526</v>
      </c>
      <c r="E27" s="380"/>
    </row>
    <row r="28" spans="2:5" ht="14.25" x14ac:dyDescent="0.2">
      <c r="C28" s="31" t="s">
        <v>534</v>
      </c>
      <c r="D28" s="380" t="s">
        <v>527</v>
      </c>
      <c r="E28" s="380"/>
    </row>
    <row r="29" spans="2:5" ht="14.25" x14ac:dyDescent="0.2">
      <c r="C29" s="31" t="s">
        <v>535</v>
      </c>
      <c r="D29" s="380" t="s">
        <v>528</v>
      </c>
      <c r="E29" s="380"/>
    </row>
    <row r="30" spans="2:5" ht="14.25" x14ac:dyDescent="0.2">
      <c r="C30" s="31" t="s">
        <v>536</v>
      </c>
      <c r="D30" s="380" t="s">
        <v>765</v>
      </c>
      <c r="E30" s="380"/>
    </row>
    <row r="31" spans="2:5" ht="14.25" x14ac:dyDescent="0.2">
      <c r="C31" s="31" t="s">
        <v>537</v>
      </c>
      <c r="D31" s="380" t="s">
        <v>529</v>
      </c>
      <c r="E31" s="380"/>
    </row>
    <row r="32" spans="2:5" ht="12" customHeight="1" x14ac:dyDescent="0.2">
      <c r="D32" s="33"/>
      <c r="E32" s="33"/>
    </row>
    <row r="33" spans="2:5" ht="12" customHeight="1" x14ac:dyDescent="0.2">
      <c r="D33" s="33"/>
      <c r="E33" s="33"/>
    </row>
    <row r="34" spans="2:5" ht="15" x14ac:dyDescent="0.2">
      <c r="B34" s="30" t="s">
        <v>538</v>
      </c>
      <c r="D34" s="33"/>
      <c r="E34" s="33"/>
    </row>
    <row r="35" spans="2:5" ht="12" customHeight="1" x14ac:dyDescent="0.2">
      <c r="D35" s="33"/>
      <c r="E35" s="33"/>
    </row>
    <row r="36" spans="2:5" ht="42.75" customHeight="1" x14ac:dyDescent="0.2">
      <c r="D36" s="380" t="s">
        <v>539</v>
      </c>
      <c r="E36" s="380"/>
    </row>
    <row r="37" spans="2:5" ht="12" customHeight="1" x14ac:dyDescent="0.2">
      <c r="D37" s="357"/>
      <c r="E37" s="357"/>
    </row>
    <row r="38" spans="2:5" ht="30.75" customHeight="1" x14ac:dyDescent="0.2">
      <c r="D38" s="380" t="s">
        <v>766</v>
      </c>
      <c r="E38" s="380"/>
    </row>
    <row r="39" spans="2:5" ht="12" customHeight="1" x14ac:dyDescent="0.2">
      <c r="D39" s="33"/>
      <c r="E39" s="33"/>
    </row>
    <row r="40" spans="2:5" ht="12" customHeight="1" x14ac:dyDescent="0.2">
      <c r="D40" s="33"/>
      <c r="E40" s="33"/>
    </row>
    <row r="41" spans="2:5" ht="15" x14ac:dyDescent="0.2">
      <c r="B41" s="30" t="s">
        <v>541</v>
      </c>
      <c r="D41" s="33"/>
      <c r="E41" s="33"/>
    </row>
    <row r="42" spans="2:5" ht="12" customHeight="1" x14ac:dyDescent="0.2">
      <c r="D42" s="33"/>
      <c r="E42" s="33"/>
    </row>
    <row r="43" spans="2:5" ht="28.5" customHeight="1" x14ac:dyDescent="0.2">
      <c r="D43" s="380" t="s">
        <v>542</v>
      </c>
      <c r="E43" s="380"/>
    </row>
    <row r="44" spans="2:5" ht="12" customHeight="1" x14ac:dyDescent="0.2">
      <c r="D44" s="32"/>
      <c r="E44" s="33"/>
    </row>
    <row r="45" spans="2:5" ht="28.5" customHeight="1" x14ac:dyDescent="0.2">
      <c r="D45" s="380" t="s">
        <v>543</v>
      </c>
      <c r="E45" s="380"/>
    </row>
    <row r="46" spans="2:5" ht="12" customHeight="1" x14ac:dyDescent="0.2">
      <c r="D46" s="32"/>
      <c r="E46" s="33"/>
    </row>
    <row r="47" spans="2:5" ht="28.5" customHeight="1" x14ac:dyDescent="0.2">
      <c r="D47" s="380" t="s">
        <v>544</v>
      </c>
      <c r="E47" s="380"/>
    </row>
    <row r="48" spans="2:5" ht="12" customHeight="1" x14ac:dyDescent="0.2">
      <c r="D48" s="32"/>
      <c r="E48" s="33"/>
    </row>
    <row r="49" spans="4:5" ht="42.75" customHeight="1" x14ac:dyDescent="0.2">
      <c r="D49" s="380" t="s">
        <v>545</v>
      </c>
      <c r="E49" s="380"/>
    </row>
    <row r="50" spans="4:5" ht="12" customHeight="1" x14ac:dyDescent="0.2">
      <c r="D50" s="32"/>
      <c r="E50" s="33"/>
    </row>
    <row r="51" spans="4:5" ht="57" customHeight="1" x14ac:dyDescent="0.2">
      <c r="D51" s="380" t="s">
        <v>546</v>
      </c>
      <c r="E51" s="380"/>
    </row>
    <row r="52" spans="4:5" ht="12" customHeight="1" x14ac:dyDescent="0.2">
      <c r="D52" s="32"/>
      <c r="E52" s="33"/>
    </row>
    <row r="53" spans="4:5" ht="14.25" x14ac:dyDescent="0.2">
      <c r="D53" s="380" t="s">
        <v>547</v>
      </c>
      <c r="E53" s="380"/>
    </row>
    <row r="54" spans="4:5" ht="12" customHeight="1" x14ac:dyDescent="0.2">
      <c r="D54" s="33"/>
      <c r="E54" s="33"/>
    </row>
    <row r="55" spans="4:5" ht="17.25" x14ac:dyDescent="0.2">
      <c r="D55" s="34" t="s">
        <v>296</v>
      </c>
      <c r="E55" s="33"/>
    </row>
    <row r="56" spans="4:5" ht="17.25" x14ac:dyDescent="0.2">
      <c r="D56" s="34" t="s">
        <v>312</v>
      </c>
      <c r="E56" s="33"/>
    </row>
    <row r="57" spans="4:5" ht="17.25" x14ac:dyDescent="0.2">
      <c r="D57" s="34" t="s">
        <v>313</v>
      </c>
      <c r="E57" s="33"/>
    </row>
    <row r="58" spans="4:5" ht="17.25" x14ac:dyDescent="0.2">
      <c r="D58" s="34" t="s">
        <v>548</v>
      </c>
      <c r="E58" s="33"/>
    </row>
    <row r="59" spans="4:5" ht="17.25" x14ac:dyDescent="0.2">
      <c r="D59" s="34" t="s">
        <v>316</v>
      </c>
      <c r="E59" s="33"/>
    </row>
    <row r="60" spans="4:5" ht="17.25" x14ac:dyDescent="0.2">
      <c r="D60" s="34" t="s">
        <v>549</v>
      </c>
      <c r="E60" s="33"/>
    </row>
    <row r="61" spans="4:5" ht="17.25" x14ac:dyDescent="0.2">
      <c r="D61" s="34" t="s">
        <v>550</v>
      </c>
      <c r="E61" s="33"/>
    </row>
    <row r="62" spans="4:5" ht="17.25" x14ac:dyDescent="0.2">
      <c r="D62" s="34" t="s">
        <v>551</v>
      </c>
      <c r="E62" s="33"/>
    </row>
    <row r="63" spans="4:5" ht="17.25" x14ac:dyDescent="0.2">
      <c r="D63" s="34" t="s">
        <v>321</v>
      </c>
      <c r="E63" s="33"/>
    </row>
    <row r="64" spans="4:5" ht="12" customHeight="1" x14ac:dyDescent="0.2">
      <c r="D64" s="34"/>
      <c r="E64" s="33"/>
    </row>
    <row r="65" spans="4:5" ht="14.25" x14ac:dyDescent="0.2">
      <c r="D65" s="381" t="s">
        <v>552</v>
      </c>
      <c r="E65" s="381"/>
    </row>
  </sheetData>
  <sheetProtection password="EFB4" sheet="1" objects="1" scenarios="1" selectLockedCells="1" selectUnlockedCells="1"/>
  <mergeCells count="25">
    <mergeCell ref="D65:E65"/>
    <mergeCell ref="D26:E26"/>
    <mergeCell ref="D25:E25"/>
    <mergeCell ref="D53:E53"/>
    <mergeCell ref="D51:E51"/>
    <mergeCell ref="D27:E27"/>
    <mergeCell ref="D45:E45"/>
    <mergeCell ref="D49:E49"/>
    <mergeCell ref="D38:E38"/>
    <mergeCell ref="D12:E12"/>
    <mergeCell ref="D10:E10"/>
    <mergeCell ref="D47:E47"/>
    <mergeCell ref="D43:E43"/>
    <mergeCell ref="D8:E8"/>
    <mergeCell ref="D22:E22"/>
    <mergeCell ref="D21:E21"/>
    <mergeCell ref="D24:E24"/>
    <mergeCell ref="D23:E23"/>
    <mergeCell ref="D36:E36"/>
    <mergeCell ref="D28:E28"/>
    <mergeCell ref="D31:E31"/>
    <mergeCell ref="D29:E29"/>
    <mergeCell ref="D30:E30"/>
    <mergeCell ref="D14:E14"/>
    <mergeCell ref="D16:E16"/>
  </mergeCells>
  <phoneticPr fontId="0" type="noConversion"/>
  <pageMargins left="0.7" right="0.5" top="0.75" bottom="0.75" header="0.3" footer="0.3"/>
  <pageSetup scale="67" fitToHeight="0" orientation="portrait" horizontalDpi="1200" verticalDpi="1200" r:id="rId1"/>
  <headerFooter>
    <oddFooter>&amp;LCopyright Fluid Sealing Association 2014. 
All rights reserved.</oddFooter>
  </headerFooter>
  <rowBreaks count="1" manualBreakCount="1">
    <brk id="52" max="4"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2:H28"/>
  <sheetViews>
    <sheetView showGridLines="0" showRowColHeaders="0" zoomScale="85" zoomScaleNormal="85" zoomScaleSheetLayoutView="85" workbookViewId="0"/>
  </sheetViews>
  <sheetFormatPr defaultRowHeight="12.75" x14ac:dyDescent="0.2"/>
  <cols>
    <col min="1" max="1" width="11.42578125" customWidth="1"/>
    <col min="2" max="3" width="4.140625" customWidth="1"/>
    <col min="4" max="4" width="15.7109375" customWidth="1"/>
    <col min="5" max="5" width="20" customWidth="1"/>
    <col min="6" max="6" width="10" customWidth="1"/>
    <col min="7" max="7" width="15.7109375" customWidth="1"/>
    <col min="8" max="8" width="57" customWidth="1"/>
  </cols>
  <sheetData>
    <row r="2" spans="1:8" ht="93.75" customHeight="1" x14ac:dyDescent="0.2"/>
    <row r="3" spans="1:8" ht="25.5" x14ac:dyDescent="0.35">
      <c r="B3" s="28" t="s">
        <v>714</v>
      </c>
      <c r="C3" s="28"/>
      <c r="D3" s="28"/>
      <c r="E3" s="28"/>
      <c r="F3" s="28"/>
    </row>
    <row r="6" spans="1:8" ht="15" x14ac:dyDescent="0.2">
      <c r="A6" s="30"/>
      <c r="B6" s="30" t="s">
        <v>715</v>
      </c>
      <c r="C6" s="30"/>
      <c r="D6" s="30"/>
      <c r="E6" s="30" t="s">
        <v>716</v>
      </c>
      <c r="F6" s="30"/>
      <c r="G6" s="30" t="s">
        <v>717</v>
      </c>
      <c r="H6" s="30"/>
    </row>
    <row r="7" spans="1:8" ht="13.5" thickBot="1" x14ac:dyDescent="0.25">
      <c r="B7" s="319"/>
      <c r="C7" s="319"/>
      <c r="D7" s="319"/>
      <c r="E7" s="319"/>
      <c r="F7" s="319"/>
      <c r="G7" s="319"/>
      <c r="H7" s="319"/>
    </row>
    <row r="8" spans="1:8" x14ac:dyDescent="0.2">
      <c r="B8" s="334"/>
      <c r="C8" s="334"/>
      <c r="D8" s="334"/>
      <c r="E8" s="334"/>
      <c r="F8" s="334"/>
      <c r="G8" s="334"/>
      <c r="H8" s="334"/>
    </row>
    <row r="9" spans="1:8" ht="135" customHeight="1" x14ac:dyDescent="0.2">
      <c r="B9" s="394" t="s">
        <v>739</v>
      </c>
      <c r="C9" s="395"/>
      <c r="D9" s="334"/>
      <c r="E9" s="318">
        <v>37987</v>
      </c>
      <c r="F9" s="334"/>
      <c r="G9" s="380" t="s">
        <v>740</v>
      </c>
      <c r="H9" s="380"/>
    </row>
    <row r="10" spans="1:8" x14ac:dyDescent="0.2">
      <c r="B10" s="334"/>
      <c r="C10" s="334"/>
      <c r="D10" s="334"/>
      <c r="E10" s="334"/>
      <c r="F10" s="334"/>
      <c r="G10" s="334"/>
      <c r="H10" s="334"/>
    </row>
    <row r="11" spans="1:8" ht="13.5" thickBot="1" x14ac:dyDescent="0.25">
      <c r="B11" s="334"/>
      <c r="C11" s="334"/>
      <c r="D11" s="334"/>
      <c r="E11" s="334"/>
      <c r="F11" s="334"/>
      <c r="G11" s="334"/>
      <c r="H11" s="334"/>
    </row>
    <row r="12" spans="1:8" x14ac:dyDescent="0.2">
      <c r="B12" s="320"/>
      <c r="C12" s="320"/>
      <c r="D12" s="320"/>
      <c r="E12" s="320"/>
      <c r="F12" s="320"/>
      <c r="G12" s="320"/>
      <c r="H12" s="320"/>
    </row>
    <row r="13" spans="1:8" ht="298.5" customHeight="1" x14ac:dyDescent="0.2">
      <c r="B13" s="394" t="s">
        <v>737</v>
      </c>
      <c r="C13" s="395"/>
      <c r="D13" s="334"/>
      <c r="E13" s="318">
        <v>40634</v>
      </c>
      <c r="F13" s="334"/>
      <c r="G13" s="380" t="s">
        <v>741</v>
      </c>
      <c r="H13" s="380"/>
    </row>
    <row r="14" spans="1:8" x14ac:dyDescent="0.2">
      <c r="B14" s="334"/>
      <c r="C14" s="334"/>
      <c r="D14" s="334"/>
      <c r="E14" s="334"/>
      <c r="F14" s="334"/>
      <c r="G14" s="334"/>
      <c r="H14" s="334"/>
    </row>
    <row r="15" spans="1:8" ht="13.5" thickBot="1" x14ac:dyDescent="0.25">
      <c r="B15" s="334"/>
      <c r="C15" s="334"/>
      <c r="D15" s="334"/>
      <c r="E15" s="334"/>
      <c r="F15" s="334"/>
      <c r="G15" s="334"/>
      <c r="H15" s="334"/>
    </row>
    <row r="16" spans="1:8" x14ac:dyDescent="0.2">
      <c r="B16" s="320"/>
      <c r="C16" s="320"/>
      <c r="D16" s="320"/>
      <c r="E16" s="320"/>
      <c r="F16" s="320"/>
      <c r="G16" s="320"/>
      <c r="H16" s="320"/>
    </row>
    <row r="17" spans="2:8" ht="15" customHeight="1" x14ac:dyDescent="0.2">
      <c r="B17" s="395">
        <v>3.2</v>
      </c>
      <c r="C17" s="395"/>
      <c r="D17" s="317"/>
      <c r="E17" s="318">
        <v>40725</v>
      </c>
      <c r="F17" s="317"/>
      <c r="G17" s="380" t="s">
        <v>736</v>
      </c>
      <c r="H17" s="380"/>
    </row>
    <row r="18" spans="2:8" ht="13.5" customHeight="1" x14ac:dyDescent="0.2">
      <c r="B18" s="317"/>
      <c r="C18" s="317"/>
      <c r="D18" s="317"/>
      <c r="E18" s="318"/>
      <c r="F18" s="317"/>
      <c r="G18" s="31"/>
      <c r="H18" s="31"/>
    </row>
    <row r="19" spans="2:8" ht="13.5" customHeight="1" thickBot="1" x14ac:dyDescent="0.25">
      <c r="B19" s="319"/>
      <c r="C19" s="319"/>
      <c r="D19" s="319"/>
      <c r="E19" s="319"/>
      <c r="F19" s="319"/>
      <c r="G19" s="319"/>
      <c r="H19" s="319"/>
    </row>
    <row r="20" spans="2:8" ht="13.5" customHeight="1" x14ac:dyDescent="0.2">
      <c r="B20" s="320"/>
      <c r="C20" s="320"/>
      <c r="D20" s="320"/>
      <c r="E20" s="320"/>
      <c r="F20" s="320"/>
      <c r="G20" s="320"/>
      <c r="H20" s="320"/>
    </row>
    <row r="21" spans="2:8" ht="45" customHeight="1" x14ac:dyDescent="0.2">
      <c r="B21" s="393" t="s">
        <v>718</v>
      </c>
      <c r="C21" s="393"/>
      <c r="D21" s="315"/>
      <c r="E21" s="316">
        <v>41153</v>
      </c>
      <c r="F21" s="315"/>
      <c r="G21" s="380" t="s">
        <v>719</v>
      </c>
      <c r="H21" s="380"/>
    </row>
    <row r="22" spans="2:8" ht="13.5" customHeight="1" x14ac:dyDescent="0.2">
      <c r="B22" s="315"/>
      <c r="C22" s="315"/>
      <c r="D22" s="315"/>
      <c r="E22" s="316"/>
      <c r="F22" s="315"/>
      <c r="G22" s="31"/>
      <c r="H22" s="31"/>
    </row>
    <row r="23" spans="2:8" ht="13.5" customHeight="1" thickBot="1" x14ac:dyDescent="0.25">
      <c r="B23" s="319"/>
      <c r="C23" s="319"/>
      <c r="D23" s="319"/>
      <c r="E23" s="319"/>
      <c r="F23" s="319"/>
      <c r="G23" s="319"/>
      <c r="H23" s="319"/>
    </row>
    <row r="24" spans="2:8" x14ac:dyDescent="0.2">
      <c r="B24" s="320"/>
      <c r="C24" s="320"/>
      <c r="D24" s="320"/>
      <c r="E24" s="320"/>
      <c r="F24" s="320"/>
      <c r="G24" s="320"/>
      <c r="H24" s="320"/>
    </row>
    <row r="25" spans="2:8" ht="75" customHeight="1" x14ac:dyDescent="0.2">
      <c r="B25" s="392" t="s">
        <v>738</v>
      </c>
      <c r="C25" s="393"/>
      <c r="D25" s="315"/>
      <c r="E25" s="316">
        <v>41689</v>
      </c>
      <c r="F25" s="315"/>
      <c r="G25" s="380" t="s">
        <v>773</v>
      </c>
      <c r="H25" s="380"/>
    </row>
    <row r="26" spans="2:8" ht="13.5" thickBot="1" x14ac:dyDescent="0.25">
      <c r="B26" s="319"/>
      <c r="C26" s="319"/>
      <c r="D26" s="319"/>
      <c r="E26" s="319"/>
      <c r="F26" s="319"/>
      <c r="G26" s="319"/>
      <c r="H26" s="319"/>
    </row>
    <row r="27" spans="2:8" x14ac:dyDescent="0.2">
      <c r="B27" s="320"/>
      <c r="C27" s="320"/>
      <c r="D27" s="320"/>
      <c r="E27" s="320"/>
      <c r="F27" s="320"/>
      <c r="G27" s="320"/>
      <c r="H27" s="320"/>
    </row>
    <row r="28" spans="2:8" ht="28.5" customHeight="1" x14ac:dyDescent="0.2">
      <c r="B28" s="392">
        <v>4.0999999999999996</v>
      </c>
      <c r="C28" s="393"/>
      <c r="D28" s="366"/>
      <c r="E28" s="316">
        <v>41799</v>
      </c>
      <c r="F28" s="366"/>
      <c r="G28" s="380" t="s">
        <v>787</v>
      </c>
      <c r="H28" s="380"/>
    </row>
  </sheetData>
  <sheetProtection password="EFB4" sheet="1" objects="1" scenarios="1" selectLockedCells="1" selectUnlockedCells="1"/>
  <mergeCells count="12">
    <mergeCell ref="B28:C28"/>
    <mergeCell ref="G28:H28"/>
    <mergeCell ref="B9:C9"/>
    <mergeCell ref="G9:H9"/>
    <mergeCell ref="B25:C25"/>
    <mergeCell ref="G21:H21"/>
    <mergeCell ref="G13:H13"/>
    <mergeCell ref="B21:C21"/>
    <mergeCell ref="B17:C17"/>
    <mergeCell ref="G25:H25"/>
    <mergeCell ref="B13:C13"/>
    <mergeCell ref="G17:H17"/>
  </mergeCells>
  <pageMargins left="0.7" right="0.5" top="0.75" bottom="0.75" header="0.3" footer="0.3"/>
  <pageSetup scale="68" orientation="portrait" horizontalDpi="1200" verticalDpi="1200" r:id="rId1"/>
  <headerFooter>
    <oddFooter>&amp;LCopyright Fluid Sealing Association 2014. 
All rights reserved.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135"/>
  <sheetViews>
    <sheetView showGridLines="0" showRowColHeaders="0" zoomScale="85" zoomScaleNormal="85" zoomScaleSheetLayoutView="70" workbookViewId="0">
      <pane xSplit="1" ySplit="3" topLeftCell="B4" activePane="bottomRight" state="frozen"/>
      <selection pane="topRight" activeCell="B1" sqref="B1"/>
      <selection pane="bottomLeft" activeCell="A4" sqref="A4"/>
      <selection pane="bottomRight" activeCell="B4" sqref="B4"/>
    </sheetView>
  </sheetViews>
  <sheetFormatPr defaultRowHeight="12.75" x14ac:dyDescent="0.2"/>
  <cols>
    <col min="1" max="1" width="26.85546875" customWidth="1"/>
    <col min="2" max="2" width="53.7109375" bestFit="1" customWidth="1"/>
    <col min="3" max="4" width="10.85546875" customWidth="1"/>
    <col min="5" max="5" width="10.28515625" bestFit="1" customWidth="1"/>
    <col min="6" max="6" width="138.42578125" style="27" customWidth="1"/>
  </cols>
  <sheetData>
    <row r="1" spans="1:6" ht="14.25" x14ac:dyDescent="0.2">
      <c r="A1" s="1" t="s">
        <v>578</v>
      </c>
      <c r="B1" s="1"/>
    </row>
    <row r="2" spans="1:6" ht="23.25" x14ac:dyDescent="0.35">
      <c r="A2" s="314" t="s">
        <v>776</v>
      </c>
    </row>
    <row r="3" spans="1:6" ht="60.75" thickBot="1" x14ac:dyDescent="0.25">
      <c r="A3" s="180" t="s">
        <v>650</v>
      </c>
      <c r="B3" s="180" t="s">
        <v>651</v>
      </c>
      <c r="C3" s="181" t="s">
        <v>652</v>
      </c>
      <c r="D3" s="181" t="s">
        <v>653</v>
      </c>
      <c r="E3" s="181" t="s">
        <v>654</v>
      </c>
      <c r="F3" s="224" t="s">
        <v>655</v>
      </c>
    </row>
    <row r="4" spans="1:6" ht="21.75" customHeight="1" x14ac:dyDescent="0.2">
      <c r="A4" s="399" t="s">
        <v>656</v>
      </c>
      <c r="B4" s="184" t="s">
        <v>657</v>
      </c>
      <c r="C4" s="185">
        <v>9</v>
      </c>
      <c r="D4" s="185">
        <v>3</v>
      </c>
      <c r="E4" s="186" t="s">
        <v>658</v>
      </c>
      <c r="F4" s="187" t="s">
        <v>659</v>
      </c>
    </row>
    <row r="5" spans="1:6" ht="21.75" customHeight="1" x14ac:dyDescent="0.2">
      <c r="A5" s="400"/>
      <c r="B5" s="188" t="s">
        <v>660</v>
      </c>
      <c r="C5" s="189" t="s">
        <v>661</v>
      </c>
      <c r="D5" s="360" t="s">
        <v>770</v>
      </c>
      <c r="E5" s="191" t="s">
        <v>658</v>
      </c>
      <c r="F5" s="192" t="s">
        <v>662</v>
      </c>
    </row>
    <row r="6" spans="1:6" ht="21.75" customHeight="1" x14ac:dyDescent="0.2">
      <c r="A6" s="400"/>
      <c r="B6" s="361"/>
      <c r="C6" s="201" t="s">
        <v>12</v>
      </c>
      <c r="D6" s="362">
        <v>36</v>
      </c>
      <c r="E6" s="191" t="s">
        <v>658</v>
      </c>
      <c r="F6" s="363" t="s">
        <v>771</v>
      </c>
    </row>
    <row r="7" spans="1:6" ht="21.75" customHeight="1" thickBot="1" x14ac:dyDescent="0.25">
      <c r="A7" s="401"/>
      <c r="B7" s="193" t="s">
        <v>663</v>
      </c>
      <c r="C7" s="194" t="s">
        <v>664</v>
      </c>
      <c r="D7" s="194" t="s">
        <v>664</v>
      </c>
      <c r="E7" s="195" t="s">
        <v>658</v>
      </c>
      <c r="F7" s="196" t="s">
        <v>665</v>
      </c>
    </row>
    <row r="8" spans="1:6" ht="21.75" customHeight="1" thickBot="1" x14ac:dyDescent="0.25">
      <c r="A8" s="182" t="s">
        <v>666</v>
      </c>
      <c r="B8" s="197" t="s">
        <v>663</v>
      </c>
      <c r="C8" s="198" t="s">
        <v>664</v>
      </c>
      <c r="D8" s="198" t="s">
        <v>664</v>
      </c>
      <c r="E8" s="199" t="s">
        <v>658</v>
      </c>
      <c r="F8" s="200" t="s">
        <v>665</v>
      </c>
    </row>
    <row r="9" spans="1:6" ht="21.75" customHeight="1" x14ac:dyDescent="0.2">
      <c r="A9" s="396" t="s">
        <v>667</v>
      </c>
      <c r="B9" s="184" t="s">
        <v>663</v>
      </c>
      <c r="C9" s="185" t="s">
        <v>664</v>
      </c>
      <c r="D9" s="185" t="s">
        <v>664</v>
      </c>
      <c r="E9" s="186" t="s">
        <v>658</v>
      </c>
      <c r="F9" s="187" t="s">
        <v>665</v>
      </c>
    </row>
    <row r="10" spans="1:6" ht="21.75" customHeight="1" x14ac:dyDescent="0.2">
      <c r="A10" s="400"/>
      <c r="B10" s="188" t="s">
        <v>686</v>
      </c>
      <c r="C10" s="201" t="s">
        <v>687</v>
      </c>
      <c r="D10" s="201">
        <v>55</v>
      </c>
      <c r="E10" s="191" t="s">
        <v>658</v>
      </c>
      <c r="F10" s="192" t="s">
        <v>691</v>
      </c>
    </row>
    <row r="11" spans="1:6" ht="21.75" customHeight="1" x14ac:dyDescent="0.2">
      <c r="A11" s="400"/>
      <c r="B11" s="188" t="s">
        <v>688</v>
      </c>
      <c r="C11" s="201" t="s">
        <v>689</v>
      </c>
      <c r="D11" s="201">
        <v>57</v>
      </c>
      <c r="E11" s="191" t="s">
        <v>658</v>
      </c>
      <c r="F11" s="192" t="s">
        <v>690</v>
      </c>
    </row>
    <row r="12" spans="1:6" ht="21.75" customHeight="1" thickBot="1" x14ac:dyDescent="0.25">
      <c r="A12" s="398"/>
      <c r="B12" s="193" t="s">
        <v>575</v>
      </c>
      <c r="C12" s="202" t="s">
        <v>668</v>
      </c>
      <c r="D12" s="202" t="s">
        <v>669</v>
      </c>
      <c r="E12" s="195" t="s">
        <v>658</v>
      </c>
      <c r="F12" s="196" t="s">
        <v>670</v>
      </c>
    </row>
    <row r="13" spans="1:6" ht="63.75" x14ac:dyDescent="0.2">
      <c r="A13" s="402" t="s">
        <v>671</v>
      </c>
      <c r="B13" s="203" t="s">
        <v>663</v>
      </c>
      <c r="C13" s="204" t="s">
        <v>664</v>
      </c>
      <c r="D13" s="204" t="s">
        <v>664</v>
      </c>
      <c r="E13" s="205" t="s">
        <v>672</v>
      </c>
      <c r="F13" s="206" t="s">
        <v>673</v>
      </c>
    </row>
    <row r="14" spans="1:6" ht="21.75" customHeight="1" x14ac:dyDescent="0.2">
      <c r="A14" s="403"/>
      <c r="B14" s="207" t="s">
        <v>663</v>
      </c>
      <c r="C14" s="208" t="s">
        <v>664</v>
      </c>
      <c r="D14" s="208" t="s">
        <v>664</v>
      </c>
      <c r="E14" s="191" t="s">
        <v>658</v>
      </c>
      <c r="F14" s="364" t="s">
        <v>772</v>
      </c>
    </row>
    <row r="15" spans="1:6" ht="21.75" customHeight="1" x14ac:dyDescent="0.2">
      <c r="A15" s="403"/>
      <c r="B15" s="207" t="s">
        <v>663</v>
      </c>
      <c r="C15" s="208" t="s">
        <v>664</v>
      </c>
      <c r="D15" s="208" t="s">
        <v>664</v>
      </c>
      <c r="E15" s="191" t="s">
        <v>658</v>
      </c>
      <c r="F15" s="227" t="s">
        <v>665</v>
      </c>
    </row>
    <row r="16" spans="1:6" ht="21.75" customHeight="1" x14ac:dyDescent="0.2">
      <c r="A16" s="403"/>
      <c r="B16" s="209" t="s">
        <v>133</v>
      </c>
      <c r="C16" s="201">
        <v>29</v>
      </c>
      <c r="D16" s="201">
        <v>37</v>
      </c>
      <c r="E16" s="191" t="s">
        <v>658</v>
      </c>
      <c r="F16" s="192" t="s">
        <v>674</v>
      </c>
    </row>
    <row r="17" spans="1:6" ht="21.75" customHeight="1" x14ac:dyDescent="0.2">
      <c r="A17" s="403"/>
      <c r="B17" s="209" t="s">
        <v>143</v>
      </c>
      <c r="C17" s="201">
        <v>36</v>
      </c>
      <c r="D17" s="201">
        <v>45</v>
      </c>
      <c r="E17" s="191" t="s">
        <v>658</v>
      </c>
      <c r="F17" s="192" t="s">
        <v>675</v>
      </c>
    </row>
    <row r="18" spans="1:6" ht="21.75" customHeight="1" x14ac:dyDescent="0.2">
      <c r="A18" s="403"/>
      <c r="B18" s="209" t="s">
        <v>159</v>
      </c>
      <c r="C18" s="201">
        <v>52</v>
      </c>
      <c r="D18" s="201">
        <v>61</v>
      </c>
      <c r="E18" s="191" t="s">
        <v>658</v>
      </c>
      <c r="F18" s="192" t="s">
        <v>676</v>
      </c>
    </row>
    <row r="19" spans="1:6" ht="21.75" customHeight="1" x14ac:dyDescent="0.2">
      <c r="A19" s="403"/>
      <c r="B19" s="209" t="s">
        <v>162</v>
      </c>
      <c r="C19" s="201">
        <v>54</v>
      </c>
      <c r="D19" s="201">
        <v>63</v>
      </c>
      <c r="E19" s="191" t="s">
        <v>658</v>
      </c>
      <c r="F19" s="192" t="s">
        <v>676</v>
      </c>
    </row>
    <row r="20" spans="1:6" ht="21.75" customHeight="1" x14ac:dyDescent="0.2">
      <c r="A20" s="403"/>
      <c r="B20" s="209" t="s">
        <v>163</v>
      </c>
      <c r="C20" s="201">
        <v>56</v>
      </c>
      <c r="D20" s="201">
        <v>65</v>
      </c>
      <c r="E20" s="191" t="s">
        <v>658</v>
      </c>
      <c r="F20" s="192" t="s">
        <v>676</v>
      </c>
    </row>
    <row r="21" spans="1:6" ht="21.75" customHeight="1" x14ac:dyDescent="0.2">
      <c r="A21" s="403"/>
      <c r="B21" s="209" t="s">
        <v>165</v>
      </c>
      <c r="C21" s="201">
        <v>60</v>
      </c>
      <c r="D21" s="201">
        <v>69</v>
      </c>
      <c r="E21" s="191" t="s">
        <v>658</v>
      </c>
      <c r="F21" s="192" t="s">
        <v>675</v>
      </c>
    </row>
    <row r="22" spans="1:6" ht="21.75" customHeight="1" x14ac:dyDescent="0.2">
      <c r="A22" s="403"/>
      <c r="B22" s="209" t="s">
        <v>166</v>
      </c>
      <c r="C22" s="201">
        <v>62</v>
      </c>
      <c r="D22" s="201">
        <v>71</v>
      </c>
      <c r="E22" s="191" t="s">
        <v>658</v>
      </c>
      <c r="F22" s="192" t="s">
        <v>677</v>
      </c>
    </row>
    <row r="23" spans="1:6" ht="21.75" customHeight="1" x14ac:dyDescent="0.2">
      <c r="A23" s="403"/>
      <c r="B23" s="209" t="s">
        <v>168</v>
      </c>
      <c r="C23" s="201">
        <v>64</v>
      </c>
      <c r="D23" s="201">
        <v>73</v>
      </c>
      <c r="E23" s="191" t="s">
        <v>658</v>
      </c>
      <c r="F23" s="192" t="s">
        <v>677</v>
      </c>
    </row>
    <row r="24" spans="1:6" ht="25.5" x14ac:dyDescent="0.2">
      <c r="A24" s="403"/>
      <c r="B24" s="209" t="s">
        <v>678</v>
      </c>
      <c r="C24" s="201">
        <v>66</v>
      </c>
      <c r="D24" s="201">
        <v>75</v>
      </c>
      <c r="E24" s="210" t="s">
        <v>679</v>
      </c>
      <c r="F24" s="211" t="s">
        <v>0</v>
      </c>
    </row>
    <row r="25" spans="1:6" ht="21.75" customHeight="1" x14ac:dyDescent="0.2">
      <c r="A25" s="403"/>
      <c r="B25" s="209" t="s">
        <v>678</v>
      </c>
      <c r="C25" s="201" t="s">
        <v>12</v>
      </c>
      <c r="D25" s="201">
        <v>77</v>
      </c>
      <c r="E25" s="210" t="s">
        <v>679</v>
      </c>
      <c r="F25" s="192" t="s">
        <v>763</v>
      </c>
    </row>
    <row r="26" spans="1:6" ht="21.75" customHeight="1" x14ac:dyDescent="0.2">
      <c r="A26" s="403"/>
      <c r="B26" s="212" t="s">
        <v>170</v>
      </c>
      <c r="C26" s="201">
        <v>69</v>
      </c>
      <c r="D26" s="201">
        <v>79</v>
      </c>
      <c r="E26" s="191" t="s">
        <v>1</v>
      </c>
      <c r="F26" s="192" t="s">
        <v>2</v>
      </c>
    </row>
    <row r="27" spans="1:6" ht="21.75" customHeight="1" x14ac:dyDescent="0.2">
      <c r="A27" s="403"/>
      <c r="B27" s="212" t="s">
        <v>3</v>
      </c>
      <c r="C27" s="201">
        <v>71</v>
      </c>
      <c r="D27" s="201">
        <v>81</v>
      </c>
      <c r="E27" s="191" t="s">
        <v>1</v>
      </c>
      <c r="F27" s="192" t="s">
        <v>4</v>
      </c>
    </row>
    <row r="28" spans="1:6" ht="21.75" customHeight="1" x14ac:dyDescent="0.2">
      <c r="A28" s="403"/>
      <c r="B28" s="212" t="s">
        <v>5</v>
      </c>
      <c r="C28" s="201">
        <v>73</v>
      </c>
      <c r="D28" s="201">
        <v>83</v>
      </c>
      <c r="E28" s="191" t="s">
        <v>1</v>
      </c>
      <c r="F28" s="192" t="s">
        <v>6</v>
      </c>
    </row>
    <row r="29" spans="1:6" ht="21.75" customHeight="1" x14ac:dyDescent="0.2">
      <c r="A29" s="403"/>
      <c r="B29" s="212" t="s">
        <v>7</v>
      </c>
      <c r="C29" s="201">
        <v>75</v>
      </c>
      <c r="D29" s="201">
        <v>85</v>
      </c>
      <c r="E29" s="191" t="s">
        <v>1</v>
      </c>
      <c r="F29" s="192" t="s">
        <v>8</v>
      </c>
    </row>
    <row r="30" spans="1:6" ht="25.5" x14ac:dyDescent="0.2">
      <c r="A30" s="403"/>
      <c r="B30" s="209" t="s">
        <v>171</v>
      </c>
      <c r="C30" s="201">
        <v>77</v>
      </c>
      <c r="D30" s="201">
        <v>87</v>
      </c>
      <c r="E30" s="210" t="s">
        <v>679</v>
      </c>
      <c r="F30" s="211" t="s">
        <v>9</v>
      </c>
    </row>
    <row r="31" spans="1:6" ht="21.75" customHeight="1" x14ac:dyDescent="0.2">
      <c r="A31" s="403"/>
      <c r="B31" s="212" t="s">
        <v>198</v>
      </c>
      <c r="C31" s="201">
        <v>80</v>
      </c>
      <c r="D31" s="201">
        <v>91</v>
      </c>
      <c r="E31" s="210" t="s">
        <v>679</v>
      </c>
      <c r="F31" s="192" t="s">
        <v>275</v>
      </c>
    </row>
    <row r="32" spans="1:6" ht="21.75" customHeight="1" x14ac:dyDescent="0.2">
      <c r="A32" s="403"/>
      <c r="B32" s="212" t="s">
        <v>201</v>
      </c>
      <c r="C32" s="201">
        <v>84</v>
      </c>
      <c r="D32" s="201">
        <v>95</v>
      </c>
      <c r="E32" s="210" t="s">
        <v>679</v>
      </c>
      <c r="F32" s="192" t="s">
        <v>276</v>
      </c>
    </row>
    <row r="33" spans="1:6" ht="21.75" customHeight="1" x14ac:dyDescent="0.2">
      <c r="A33" s="403"/>
      <c r="B33" s="212" t="s">
        <v>203</v>
      </c>
      <c r="C33" s="201">
        <v>86</v>
      </c>
      <c r="D33" s="201">
        <v>97</v>
      </c>
      <c r="E33" s="210" t="s">
        <v>679</v>
      </c>
      <c r="F33" s="192" t="s">
        <v>277</v>
      </c>
    </row>
    <row r="34" spans="1:6" ht="21.75" customHeight="1" x14ac:dyDescent="0.2">
      <c r="A34" s="403"/>
      <c r="B34" s="212" t="s">
        <v>10</v>
      </c>
      <c r="C34" s="201">
        <v>88</v>
      </c>
      <c r="D34" s="201">
        <v>99</v>
      </c>
      <c r="E34" s="210" t="s">
        <v>679</v>
      </c>
      <c r="F34" s="192" t="s">
        <v>705</v>
      </c>
    </row>
    <row r="35" spans="1:6" ht="21.75" customHeight="1" x14ac:dyDescent="0.2">
      <c r="A35" s="403"/>
      <c r="B35" s="212" t="s">
        <v>10</v>
      </c>
      <c r="C35" s="201" t="s">
        <v>12</v>
      </c>
      <c r="D35" s="201">
        <v>101</v>
      </c>
      <c r="E35" s="210" t="s">
        <v>679</v>
      </c>
      <c r="F35" s="192" t="s">
        <v>763</v>
      </c>
    </row>
    <row r="36" spans="1:6" ht="21.75" customHeight="1" x14ac:dyDescent="0.2">
      <c r="A36" s="403"/>
      <c r="B36" s="212" t="s">
        <v>206</v>
      </c>
      <c r="C36" s="201">
        <v>90</v>
      </c>
      <c r="D36" s="201">
        <v>103</v>
      </c>
      <c r="E36" s="210" t="s">
        <v>679</v>
      </c>
      <c r="F36" s="192" t="s">
        <v>515</v>
      </c>
    </row>
    <row r="37" spans="1:6" ht="21.75" customHeight="1" x14ac:dyDescent="0.2">
      <c r="A37" s="403"/>
      <c r="B37" s="212" t="s">
        <v>211</v>
      </c>
      <c r="C37" s="201">
        <v>96</v>
      </c>
      <c r="D37" s="201">
        <v>109</v>
      </c>
      <c r="E37" s="210" t="s">
        <v>679</v>
      </c>
      <c r="F37" s="192" t="s">
        <v>516</v>
      </c>
    </row>
    <row r="38" spans="1:6" ht="21.75" customHeight="1" x14ac:dyDescent="0.2">
      <c r="A38" s="403"/>
      <c r="B38" s="212" t="s">
        <v>198</v>
      </c>
      <c r="C38" s="201">
        <v>99</v>
      </c>
      <c r="D38" s="201">
        <v>113</v>
      </c>
      <c r="E38" s="210" t="s">
        <v>679</v>
      </c>
      <c r="F38" s="192" t="s">
        <v>275</v>
      </c>
    </row>
    <row r="39" spans="1:6" ht="21.75" customHeight="1" x14ac:dyDescent="0.2">
      <c r="A39" s="403"/>
      <c r="B39" s="212" t="s">
        <v>214</v>
      </c>
      <c r="C39" s="201">
        <v>103</v>
      </c>
      <c r="D39" s="201">
        <v>117</v>
      </c>
      <c r="E39" s="210" t="s">
        <v>679</v>
      </c>
      <c r="F39" s="192" t="s">
        <v>276</v>
      </c>
    </row>
    <row r="40" spans="1:6" ht="21.75" customHeight="1" x14ac:dyDescent="0.2">
      <c r="A40" s="403"/>
      <c r="B40" s="212" t="s">
        <v>203</v>
      </c>
      <c r="C40" s="201">
        <v>105</v>
      </c>
      <c r="D40" s="201">
        <v>119</v>
      </c>
      <c r="E40" s="210" t="s">
        <v>679</v>
      </c>
      <c r="F40" s="192" t="s">
        <v>277</v>
      </c>
    </row>
    <row r="41" spans="1:6" ht="21.75" customHeight="1" x14ac:dyDescent="0.2">
      <c r="A41" s="403"/>
      <c r="B41" s="212" t="s">
        <v>11</v>
      </c>
      <c r="C41" s="201">
        <v>107</v>
      </c>
      <c r="D41" s="201">
        <v>121</v>
      </c>
      <c r="E41" s="210" t="s">
        <v>679</v>
      </c>
      <c r="F41" s="192" t="s">
        <v>644</v>
      </c>
    </row>
    <row r="42" spans="1:6" ht="21.75" customHeight="1" x14ac:dyDescent="0.2">
      <c r="A42" s="403"/>
      <c r="B42" s="212" t="s">
        <v>11</v>
      </c>
      <c r="C42" s="201" t="s">
        <v>12</v>
      </c>
      <c r="D42" s="201">
        <v>123</v>
      </c>
      <c r="E42" s="210" t="s">
        <v>679</v>
      </c>
      <c r="F42" s="192" t="s">
        <v>763</v>
      </c>
    </row>
    <row r="43" spans="1:6" ht="21.75" customHeight="1" x14ac:dyDescent="0.2">
      <c r="A43" s="403"/>
      <c r="B43" s="212" t="s">
        <v>215</v>
      </c>
      <c r="C43" s="201">
        <v>109</v>
      </c>
      <c r="D43" s="201">
        <v>125</v>
      </c>
      <c r="E43" s="210" t="s">
        <v>679</v>
      </c>
      <c r="F43" s="192" t="s">
        <v>633</v>
      </c>
    </row>
    <row r="44" spans="1:6" ht="21.75" customHeight="1" x14ac:dyDescent="0.2">
      <c r="A44" s="403"/>
      <c r="B44" s="213" t="s">
        <v>475</v>
      </c>
      <c r="C44" s="208" t="s">
        <v>12</v>
      </c>
      <c r="D44" s="208">
        <v>137</v>
      </c>
      <c r="E44" s="191" t="s">
        <v>1</v>
      </c>
      <c r="F44" s="404" t="s">
        <v>13</v>
      </c>
    </row>
    <row r="45" spans="1:6" ht="21.75" customHeight="1" x14ac:dyDescent="0.2">
      <c r="A45" s="403"/>
      <c r="B45" s="213" t="s">
        <v>479</v>
      </c>
      <c r="C45" s="208" t="s">
        <v>12</v>
      </c>
      <c r="D45" s="208">
        <v>139</v>
      </c>
      <c r="E45" s="191" t="s">
        <v>1</v>
      </c>
      <c r="F45" s="405"/>
    </row>
    <row r="46" spans="1:6" ht="21.75" customHeight="1" x14ac:dyDescent="0.2">
      <c r="A46" s="403"/>
      <c r="B46" s="213" t="s">
        <v>476</v>
      </c>
      <c r="C46" s="208" t="s">
        <v>12</v>
      </c>
      <c r="D46" s="208">
        <v>141</v>
      </c>
      <c r="E46" s="191" t="s">
        <v>1</v>
      </c>
      <c r="F46" s="405"/>
    </row>
    <row r="47" spans="1:6" ht="21.75" customHeight="1" x14ac:dyDescent="0.2">
      <c r="A47" s="403"/>
      <c r="B47" s="213" t="s">
        <v>477</v>
      </c>
      <c r="C47" s="208" t="s">
        <v>12</v>
      </c>
      <c r="D47" s="208">
        <v>143</v>
      </c>
      <c r="E47" s="191" t="s">
        <v>1</v>
      </c>
      <c r="F47" s="405"/>
    </row>
    <row r="48" spans="1:6" ht="21.75" customHeight="1" x14ac:dyDescent="0.2">
      <c r="A48" s="403"/>
      <c r="B48" s="213" t="s">
        <v>478</v>
      </c>
      <c r="C48" s="208" t="s">
        <v>12</v>
      </c>
      <c r="D48" s="208">
        <v>145</v>
      </c>
      <c r="E48" s="191" t="s">
        <v>1</v>
      </c>
      <c r="F48" s="405"/>
    </row>
    <row r="49" spans="1:6" ht="21.75" customHeight="1" x14ac:dyDescent="0.2">
      <c r="A49" s="403"/>
      <c r="B49" s="212" t="s">
        <v>14</v>
      </c>
      <c r="C49" s="201">
        <v>123</v>
      </c>
      <c r="D49" s="201">
        <v>149</v>
      </c>
      <c r="E49" s="210" t="s">
        <v>679</v>
      </c>
      <c r="F49" s="192" t="s">
        <v>634</v>
      </c>
    </row>
    <row r="50" spans="1:6" ht="21.75" customHeight="1" x14ac:dyDescent="0.2">
      <c r="A50" s="403"/>
      <c r="B50" s="212" t="s">
        <v>15</v>
      </c>
      <c r="C50" s="201">
        <v>127</v>
      </c>
      <c r="D50" s="201">
        <v>153</v>
      </c>
      <c r="E50" s="210" t="s">
        <v>679</v>
      </c>
      <c r="F50" s="192" t="s">
        <v>16</v>
      </c>
    </row>
    <row r="51" spans="1:6" ht="21.75" customHeight="1" x14ac:dyDescent="0.2">
      <c r="A51" s="403"/>
      <c r="B51" s="212" t="s">
        <v>15</v>
      </c>
      <c r="C51" s="201" t="s">
        <v>12</v>
      </c>
      <c r="D51" s="201">
        <v>155</v>
      </c>
      <c r="E51" s="210" t="s">
        <v>679</v>
      </c>
      <c r="F51" s="192" t="s">
        <v>763</v>
      </c>
    </row>
    <row r="52" spans="1:6" ht="21.75" customHeight="1" x14ac:dyDescent="0.2">
      <c r="A52" s="403"/>
      <c r="B52" s="212" t="s">
        <v>648</v>
      </c>
      <c r="C52" s="201" t="s">
        <v>12</v>
      </c>
      <c r="D52" s="201">
        <v>157</v>
      </c>
      <c r="E52" s="210" t="s">
        <v>679</v>
      </c>
      <c r="F52" s="192" t="s">
        <v>17</v>
      </c>
    </row>
    <row r="53" spans="1:6" ht="21.75" customHeight="1" x14ac:dyDescent="0.2">
      <c r="A53" s="403"/>
      <c r="B53" s="212" t="s">
        <v>198</v>
      </c>
      <c r="C53" s="201">
        <v>136</v>
      </c>
      <c r="D53" s="208">
        <v>165</v>
      </c>
      <c r="E53" s="210" t="s">
        <v>679</v>
      </c>
      <c r="F53" s="192" t="s">
        <v>275</v>
      </c>
    </row>
    <row r="54" spans="1:6" ht="21.75" customHeight="1" x14ac:dyDescent="0.2">
      <c r="A54" s="403"/>
      <c r="B54" s="212" t="s">
        <v>461</v>
      </c>
      <c r="C54" s="201">
        <v>138</v>
      </c>
      <c r="D54" s="201">
        <v>167</v>
      </c>
      <c r="E54" s="210" t="s">
        <v>679</v>
      </c>
      <c r="F54" s="192" t="s">
        <v>469</v>
      </c>
    </row>
    <row r="55" spans="1:6" ht="21.75" customHeight="1" x14ac:dyDescent="0.2">
      <c r="A55" s="403"/>
      <c r="B55" s="212" t="s">
        <v>203</v>
      </c>
      <c r="C55" s="201">
        <v>140</v>
      </c>
      <c r="D55" s="201">
        <v>169</v>
      </c>
      <c r="E55" s="210" t="s">
        <v>679</v>
      </c>
      <c r="F55" s="192" t="s">
        <v>277</v>
      </c>
    </row>
    <row r="56" spans="1:6" ht="21.75" customHeight="1" x14ac:dyDescent="0.2">
      <c r="A56" s="403"/>
      <c r="B56" s="214" t="s">
        <v>464</v>
      </c>
      <c r="C56" s="208">
        <v>146</v>
      </c>
      <c r="D56" s="208">
        <v>175</v>
      </c>
      <c r="E56" s="191" t="s">
        <v>1</v>
      </c>
      <c r="F56" s="226" t="s">
        <v>18</v>
      </c>
    </row>
    <row r="57" spans="1:6" ht="25.5" x14ac:dyDescent="0.2">
      <c r="A57" s="403"/>
      <c r="B57" s="214" t="s">
        <v>227</v>
      </c>
      <c r="C57" s="208">
        <v>157</v>
      </c>
      <c r="D57" s="208">
        <v>187</v>
      </c>
      <c r="E57" s="210" t="s">
        <v>679</v>
      </c>
      <c r="F57" s="225" t="s">
        <v>19</v>
      </c>
    </row>
    <row r="58" spans="1:6" ht="21.75" customHeight="1" x14ac:dyDescent="0.2">
      <c r="A58" s="403"/>
      <c r="B58" s="214" t="s">
        <v>761</v>
      </c>
      <c r="C58" s="201" t="s">
        <v>12</v>
      </c>
      <c r="D58" s="208">
        <v>205</v>
      </c>
      <c r="E58" s="210" t="s">
        <v>679</v>
      </c>
      <c r="F58" s="192" t="s">
        <v>763</v>
      </c>
    </row>
    <row r="59" spans="1:6" ht="38.25" x14ac:dyDescent="0.2">
      <c r="A59" s="403"/>
      <c r="B59" s="215" t="s">
        <v>487</v>
      </c>
      <c r="C59" s="201" t="s">
        <v>12</v>
      </c>
      <c r="D59" s="201">
        <v>215</v>
      </c>
      <c r="E59" s="216" t="s">
        <v>672</v>
      </c>
      <c r="F59" s="211" t="s">
        <v>20</v>
      </c>
    </row>
    <row r="60" spans="1:6" ht="21.75" customHeight="1" x14ac:dyDescent="0.2">
      <c r="A60" s="403"/>
      <c r="B60" s="214" t="s">
        <v>235</v>
      </c>
      <c r="C60" s="201" t="s">
        <v>12</v>
      </c>
      <c r="D60" s="208">
        <v>221</v>
      </c>
      <c r="E60" s="210" t="s">
        <v>679</v>
      </c>
      <c r="F60" s="192" t="s">
        <v>763</v>
      </c>
    </row>
    <row r="61" spans="1:6" ht="21.75" customHeight="1" x14ac:dyDescent="0.2">
      <c r="A61" s="403"/>
      <c r="B61" s="214" t="s">
        <v>236</v>
      </c>
      <c r="C61" s="208">
        <v>176</v>
      </c>
      <c r="D61" s="208">
        <v>223</v>
      </c>
      <c r="E61" s="210" t="s">
        <v>679</v>
      </c>
      <c r="F61" s="226" t="s">
        <v>280</v>
      </c>
    </row>
    <row r="62" spans="1:6" ht="21.75" customHeight="1" x14ac:dyDescent="0.2">
      <c r="A62" s="403"/>
      <c r="B62" s="214" t="s">
        <v>236</v>
      </c>
      <c r="C62" s="201" t="s">
        <v>12</v>
      </c>
      <c r="D62" s="208">
        <v>225</v>
      </c>
      <c r="E62" s="210" t="s">
        <v>679</v>
      </c>
      <c r="F62" s="192" t="s">
        <v>763</v>
      </c>
    </row>
    <row r="63" spans="1:6" ht="21.75" customHeight="1" x14ac:dyDescent="0.2">
      <c r="A63" s="403"/>
      <c r="B63" s="212" t="s">
        <v>243</v>
      </c>
      <c r="C63" s="208">
        <v>186</v>
      </c>
      <c r="D63" s="208">
        <v>235</v>
      </c>
      <c r="E63" s="191" t="s">
        <v>658</v>
      </c>
      <c r="F63" s="226" t="s">
        <v>21</v>
      </c>
    </row>
    <row r="64" spans="1:6" ht="25.5" x14ac:dyDescent="0.2">
      <c r="A64" s="403"/>
      <c r="B64" s="217" t="s">
        <v>287</v>
      </c>
      <c r="C64" s="208">
        <v>202</v>
      </c>
      <c r="D64" s="208">
        <v>250</v>
      </c>
      <c r="E64" s="216" t="s">
        <v>672</v>
      </c>
      <c r="F64" s="225" t="s">
        <v>22</v>
      </c>
    </row>
    <row r="65" spans="1:6" ht="21.75" customHeight="1" x14ac:dyDescent="0.2">
      <c r="A65" s="403"/>
      <c r="B65" s="207" t="s">
        <v>288</v>
      </c>
      <c r="C65" s="208">
        <v>204</v>
      </c>
      <c r="D65" s="208">
        <v>252</v>
      </c>
      <c r="E65" s="191" t="s">
        <v>658</v>
      </c>
      <c r="F65" s="226" t="s">
        <v>517</v>
      </c>
    </row>
    <row r="66" spans="1:6" ht="51" x14ac:dyDescent="0.2">
      <c r="A66" s="403"/>
      <c r="B66" s="207" t="s">
        <v>289</v>
      </c>
      <c r="C66" s="208">
        <v>206</v>
      </c>
      <c r="D66" s="208">
        <v>254</v>
      </c>
      <c r="E66" s="216" t="s">
        <v>672</v>
      </c>
      <c r="F66" s="225" t="s">
        <v>709</v>
      </c>
    </row>
    <row r="67" spans="1:6" ht="21.75" customHeight="1" x14ac:dyDescent="0.2">
      <c r="A67" s="403"/>
      <c r="B67" s="207" t="s">
        <v>290</v>
      </c>
      <c r="C67" s="208">
        <v>208</v>
      </c>
      <c r="D67" s="208">
        <v>256</v>
      </c>
      <c r="E67" s="191" t="s">
        <v>658</v>
      </c>
      <c r="F67" s="226" t="s">
        <v>517</v>
      </c>
    </row>
    <row r="68" spans="1:6" ht="21.75" customHeight="1" x14ac:dyDescent="0.2">
      <c r="A68" s="403"/>
      <c r="B68" s="207" t="s">
        <v>291</v>
      </c>
      <c r="C68" s="208">
        <v>210</v>
      </c>
      <c r="D68" s="208">
        <v>258</v>
      </c>
      <c r="E68" s="216" t="s">
        <v>672</v>
      </c>
      <c r="F68" s="226" t="s">
        <v>457</v>
      </c>
    </row>
    <row r="69" spans="1:6" ht="21.75" customHeight="1" x14ac:dyDescent="0.2">
      <c r="A69" s="403"/>
      <c r="B69" s="207" t="s">
        <v>292</v>
      </c>
      <c r="C69" s="208">
        <v>212</v>
      </c>
      <c r="D69" s="208">
        <v>260</v>
      </c>
      <c r="E69" s="191" t="s">
        <v>658</v>
      </c>
      <c r="F69" s="226" t="s">
        <v>517</v>
      </c>
    </row>
    <row r="70" spans="1:6" ht="21.75" customHeight="1" x14ac:dyDescent="0.2">
      <c r="A70" s="403"/>
      <c r="B70" s="207" t="s">
        <v>293</v>
      </c>
      <c r="C70" s="208">
        <v>214</v>
      </c>
      <c r="D70" s="208">
        <v>262</v>
      </c>
      <c r="E70" s="191" t="s">
        <v>658</v>
      </c>
      <c r="F70" s="226" t="s">
        <v>517</v>
      </c>
    </row>
    <row r="71" spans="1:6" ht="25.5" x14ac:dyDescent="0.2">
      <c r="A71" s="403"/>
      <c r="B71" s="207" t="s">
        <v>294</v>
      </c>
      <c r="C71" s="208">
        <v>216</v>
      </c>
      <c r="D71" s="208">
        <v>264</v>
      </c>
      <c r="E71" s="216" t="s">
        <v>672</v>
      </c>
      <c r="F71" s="225" t="s">
        <v>23</v>
      </c>
    </row>
    <row r="72" spans="1:6" ht="63.75" x14ac:dyDescent="0.2">
      <c r="A72" s="403"/>
      <c r="B72" s="212" t="s">
        <v>24</v>
      </c>
      <c r="C72" s="201">
        <v>219</v>
      </c>
      <c r="D72" s="201">
        <v>268</v>
      </c>
      <c r="E72" s="216" t="s">
        <v>672</v>
      </c>
      <c r="F72" s="225" t="s">
        <v>25</v>
      </c>
    </row>
    <row r="73" spans="1:6" ht="63.75" x14ac:dyDescent="0.2">
      <c r="A73" s="403"/>
      <c r="B73" s="212" t="s">
        <v>26</v>
      </c>
      <c r="C73" s="201">
        <v>221</v>
      </c>
      <c r="D73" s="201">
        <v>270</v>
      </c>
      <c r="E73" s="216" t="s">
        <v>672</v>
      </c>
      <c r="F73" s="225" t="s">
        <v>27</v>
      </c>
    </row>
    <row r="74" spans="1:6" ht="25.5" x14ac:dyDescent="0.2">
      <c r="A74" s="403"/>
      <c r="B74" s="212" t="s">
        <v>28</v>
      </c>
      <c r="C74" s="201">
        <v>223</v>
      </c>
      <c r="D74" s="201">
        <v>272</v>
      </c>
      <c r="E74" s="191" t="s">
        <v>658</v>
      </c>
      <c r="F74" s="226" t="s">
        <v>29</v>
      </c>
    </row>
    <row r="75" spans="1:6" ht="21.75" customHeight="1" x14ac:dyDescent="0.2">
      <c r="A75" s="403"/>
      <c r="B75" s="212" t="s">
        <v>30</v>
      </c>
      <c r="C75" s="201">
        <v>226</v>
      </c>
      <c r="D75" s="201">
        <v>276</v>
      </c>
      <c r="E75" s="191" t="s">
        <v>658</v>
      </c>
      <c r="F75" s="226" t="s">
        <v>517</v>
      </c>
    </row>
    <row r="76" spans="1:6" ht="21.75" customHeight="1" x14ac:dyDescent="0.2">
      <c r="A76" s="403"/>
      <c r="B76" s="212" t="s">
        <v>31</v>
      </c>
      <c r="C76" s="201">
        <v>228</v>
      </c>
      <c r="D76" s="201">
        <v>278</v>
      </c>
      <c r="E76" s="191" t="s">
        <v>658</v>
      </c>
      <c r="F76" s="226" t="s">
        <v>517</v>
      </c>
    </row>
    <row r="77" spans="1:6" ht="25.5" x14ac:dyDescent="0.2">
      <c r="A77" s="403"/>
      <c r="B77" s="212" t="s">
        <v>24</v>
      </c>
      <c r="C77" s="201">
        <v>231</v>
      </c>
      <c r="D77" s="201">
        <v>282</v>
      </c>
      <c r="E77" s="216" t="s">
        <v>672</v>
      </c>
      <c r="F77" s="225" t="s">
        <v>23</v>
      </c>
    </row>
    <row r="78" spans="1:6" ht="25.5" x14ac:dyDescent="0.2">
      <c r="A78" s="403"/>
      <c r="B78" s="212" t="s">
        <v>32</v>
      </c>
      <c r="C78" s="201">
        <v>233</v>
      </c>
      <c r="D78" s="201">
        <v>284</v>
      </c>
      <c r="E78" s="216" t="s">
        <v>672</v>
      </c>
      <c r="F78" s="225" t="s">
        <v>23</v>
      </c>
    </row>
    <row r="79" spans="1:6" ht="21.75" customHeight="1" x14ac:dyDescent="0.2">
      <c r="A79" s="403"/>
      <c r="B79" s="212" t="s">
        <v>33</v>
      </c>
      <c r="C79" s="201">
        <v>235</v>
      </c>
      <c r="D79" s="201">
        <v>286</v>
      </c>
      <c r="E79" s="191" t="s">
        <v>658</v>
      </c>
      <c r="F79" s="225" t="s">
        <v>517</v>
      </c>
    </row>
    <row r="80" spans="1:6" ht="21.75" customHeight="1" x14ac:dyDescent="0.2">
      <c r="A80" s="403"/>
      <c r="B80" s="212" t="s">
        <v>693</v>
      </c>
      <c r="C80" s="201">
        <v>237</v>
      </c>
      <c r="D80" s="201">
        <v>288</v>
      </c>
      <c r="E80" s="191" t="s">
        <v>658</v>
      </c>
      <c r="F80" s="226" t="s">
        <v>517</v>
      </c>
    </row>
    <row r="81" spans="1:6" ht="21.75" customHeight="1" x14ac:dyDescent="0.2">
      <c r="A81" s="403"/>
      <c r="B81" s="212" t="s">
        <v>694</v>
      </c>
      <c r="C81" s="201">
        <v>239</v>
      </c>
      <c r="D81" s="201">
        <v>290</v>
      </c>
      <c r="E81" s="191" t="s">
        <v>658</v>
      </c>
      <c r="F81" s="226" t="s">
        <v>517</v>
      </c>
    </row>
    <row r="82" spans="1:6" ht="21.75" customHeight="1" x14ac:dyDescent="0.2">
      <c r="A82" s="403"/>
      <c r="B82" s="212" t="s">
        <v>695</v>
      </c>
      <c r="C82" s="201">
        <v>241</v>
      </c>
      <c r="D82" s="201">
        <v>292</v>
      </c>
      <c r="E82" s="191" t="s">
        <v>658</v>
      </c>
      <c r="F82" s="226" t="s">
        <v>517</v>
      </c>
    </row>
    <row r="83" spans="1:6" ht="21.75" customHeight="1" x14ac:dyDescent="0.2">
      <c r="A83" s="403"/>
      <c r="B83" s="212" t="s">
        <v>696</v>
      </c>
      <c r="C83" s="201">
        <v>243</v>
      </c>
      <c r="D83" s="201">
        <v>294</v>
      </c>
      <c r="E83" s="191" t="s">
        <v>658</v>
      </c>
      <c r="F83" s="226" t="s">
        <v>517</v>
      </c>
    </row>
    <row r="84" spans="1:6" ht="21.75" customHeight="1" x14ac:dyDescent="0.2">
      <c r="A84" s="403"/>
      <c r="B84" s="212" t="s">
        <v>697</v>
      </c>
      <c r="C84" s="201">
        <v>245</v>
      </c>
      <c r="D84" s="201">
        <v>296</v>
      </c>
      <c r="E84" s="191" t="s">
        <v>658</v>
      </c>
      <c r="F84" s="226" t="s">
        <v>517</v>
      </c>
    </row>
    <row r="85" spans="1:6" ht="21.75" customHeight="1" x14ac:dyDescent="0.2">
      <c r="A85" s="403"/>
      <c r="B85" s="212" t="s">
        <v>698</v>
      </c>
      <c r="C85" s="201">
        <v>247</v>
      </c>
      <c r="D85" s="201">
        <v>298</v>
      </c>
      <c r="E85" s="191" t="s">
        <v>658</v>
      </c>
      <c r="F85" s="226" t="s">
        <v>517</v>
      </c>
    </row>
    <row r="86" spans="1:6" ht="25.5" x14ac:dyDescent="0.2">
      <c r="A86" s="403"/>
      <c r="B86" s="214" t="s">
        <v>699</v>
      </c>
      <c r="C86" s="208">
        <v>251</v>
      </c>
      <c r="D86" s="208">
        <v>302</v>
      </c>
      <c r="E86" s="216" t="s">
        <v>672</v>
      </c>
      <c r="F86" s="225" t="s">
        <v>34</v>
      </c>
    </row>
    <row r="87" spans="1:6" ht="38.25" x14ac:dyDescent="0.2">
      <c r="A87" s="403"/>
      <c r="B87" s="214" t="s">
        <v>700</v>
      </c>
      <c r="C87" s="208">
        <v>255</v>
      </c>
      <c r="D87" s="208">
        <v>306</v>
      </c>
      <c r="E87" s="216" t="s">
        <v>672</v>
      </c>
      <c r="F87" s="225" t="s">
        <v>35</v>
      </c>
    </row>
    <row r="88" spans="1:6" ht="21.75" customHeight="1" x14ac:dyDescent="0.2">
      <c r="A88" s="403"/>
      <c r="B88" s="188" t="s">
        <v>36</v>
      </c>
      <c r="C88" s="190" t="s">
        <v>37</v>
      </c>
      <c r="D88" s="201" t="s">
        <v>12</v>
      </c>
      <c r="E88" s="191" t="s">
        <v>658</v>
      </c>
      <c r="F88" s="406" t="s">
        <v>38</v>
      </c>
    </row>
    <row r="89" spans="1:6" ht="21.75" customHeight="1" x14ac:dyDescent="0.2">
      <c r="A89" s="403"/>
      <c r="B89" s="188" t="s">
        <v>39</v>
      </c>
      <c r="C89" s="190" t="s">
        <v>40</v>
      </c>
      <c r="D89" s="201" t="s">
        <v>12</v>
      </c>
      <c r="E89" s="191" t="s">
        <v>658</v>
      </c>
      <c r="F89" s="406"/>
    </row>
    <row r="90" spans="1:6" ht="21.75" customHeight="1" x14ac:dyDescent="0.2">
      <c r="A90" s="403"/>
      <c r="B90" s="207" t="s">
        <v>41</v>
      </c>
      <c r="C90" s="208">
        <v>287</v>
      </c>
      <c r="D90" s="208">
        <v>325</v>
      </c>
      <c r="E90" s="216" t="s">
        <v>672</v>
      </c>
      <c r="F90" s="227" t="s">
        <v>488</v>
      </c>
    </row>
    <row r="91" spans="1:6" ht="21.75" customHeight="1" x14ac:dyDescent="0.2">
      <c r="A91" s="403"/>
      <c r="B91" s="207" t="s">
        <v>42</v>
      </c>
      <c r="C91" s="208">
        <v>289</v>
      </c>
      <c r="D91" s="208">
        <v>337</v>
      </c>
      <c r="E91" s="216" t="s">
        <v>672</v>
      </c>
      <c r="F91" s="227" t="s">
        <v>488</v>
      </c>
    </row>
    <row r="92" spans="1:6" ht="21.75" customHeight="1" x14ac:dyDescent="0.2">
      <c r="A92" s="403"/>
      <c r="B92" s="207" t="s">
        <v>327</v>
      </c>
      <c r="C92" s="208">
        <v>297</v>
      </c>
      <c r="D92" s="208">
        <v>347</v>
      </c>
      <c r="E92" s="210" t="s">
        <v>679</v>
      </c>
      <c r="F92" s="227" t="s">
        <v>43</v>
      </c>
    </row>
    <row r="93" spans="1:6" ht="21.75" customHeight="1" thickBot="1" x14ac:dyDescent="0.25">
      <c r="A93" s="403"/>
      <c r="B93" s="218" t="s">
        <v>701</v>
      </c>
      <c r="C93" s="219" t="s">
        <v>12</v>
      </c>
      <c r="D93" s="219">
        <v>350</v>
      </c>
      <c r="E93" s="220" t="s">
        <v>679</v>
      </c>
      <c r="F93" s="228" t="s">
        <v>44</v>
      </c>
    </row>
    <row r="94" spans="1:6" ht="22.5" customHeight="1" x14ac:dyDescent="0.2">
      <c r="A94" s="396" t="s">
        <v>45</v>
      </c>
      <c r="B94" s="203" t="s">
        <v>663</v>
      </c>
      <c r="C94" s="204" t="s">
        <v>664</v>
      </c>
      <c r="D94" s="204" t="s">
        <v>664</v>
      </c>
      <c r="E94" s="186" t="s">
        <v>658</v>
      </c>
      <c r="F94" s="206" t="s">
        <v>665</v>
      </c>
    </row>
    <row r="95" spans="1:6" ht="22.5" customHeight="1" x14ac:dyDescent="0.2">
      <c r="A95" s="407"/>
      <c r="B95" s="207" t="s">
        <v>663</v>
      </c>
      <c r="C95" s="208" t="s">
        <v>664</v>
      </c>
      <c r="D95" s="208" t="s">
        <v>664</v>
      </c>
      <c r="E95" s="191" t="s">
        <v>658</v>
      </c>
      <c r="F95" s="364" t="s">
        <v>772</v>
      </c>
    </row>
    <row r="96" spans="1:6" ht="22.5" customHeight="1" x14ac:dyDescent="0.2">
      <c r="A96" s="397"/>
      <c r="B96" s="188" t="s">
        <v>434</v>
      </c>
      <c r="C96" s="208">
        <v>25</v>
      </c>
      <c r="D96" s="208">
        <v>17</v>
      </c>
      <c r="E96" s="191" t="s">
        <v>658</v>
      </c>
      <c r="F96" s="192" t="s">
        <v>702</v>
      </c>
    </row>
    <row r="97" spans="1:6" ht="25.5" x14ac:dyDescent="0.2">
      <c r="A97" s="397"/>
      <c r="B97" s="188" t="s">
        <v>343</v>
      </c>
      <c r="C97" s="208">
        <v>27</v>
      </c>
      <c r="D97" s="208">
        <v>19</v>
      </c>
      <c r="E97" s="210" t="s">
        <v>679</v>
      </c>
      <c r="F97" s="192" t="s">
        <v>46</v>
      </c>
    </row>
    <row r="98" spans="1:6" ht="22.5" customHeight="1" x14ac:dyDescent="0.2">
      <c r="A98" s="397"/>
      <c r="B98" s="188" t="s">
        <v>346</v>
      </c>
      <c r="C98" s="208">
        <v>31</v>
      </c>
      <c r="D98" s="208">
        <v>23</v>
      </c>
      <c r="E98" s="191" t="s">
        <v>658</v>
      </c>
      <c r="F98" s="192" t="s">
        <v>47</v>
      </c>
    </row>
    <row r="99" spans="1:6" ht="22.5" customHeight="1" x14ac:dyDescent="0.2">
      <c r="A99" s="397"/>
      <c r="B99" s="188" t="s">
        <v>348</v>
      </c>
      <c r="C99" s="208">
        <v>33</v>
      </c>
      <c r="D99" s="208">
        <v>25</v>
      </c>
      <c r="E99" s="191" t="s">
        <v>658</v>
      </c>
      <c r="F99" s="192" t="s">
        <v>703</v>
      </c>
    </row>
    <row r="100" spans="1:6" ht="22.5" customHeight="1" x14ac:dyDescent="0.2">
      <c r="A100" s="397"/>
      <c r="B100" s="188" t="s">
        <v>380</v>
      </c>
      <c r="C100" s="208">
        <v>35</v>
      </c>
      <c r="D100" s="208">
        <v>27</v>
      </c>
      <c r="E100" s="191" t="s">
        <v>658</v>
      </c>
      <c r="F100" s="192" t="s">
        <v>48</v>
      </c>
    </row>
    <row r="101" spans="1:6" ht="22.5" customHeight="1" x14ac:dyDescent="0.2">
      <c r="A101" s="397"/>
      <c r="B101" s="188" t="s">
        <v>351</v>
      </c>
      <c r="C101" s="208">
        <v>39</v>
      </c>
      <c r="D101" s="208">
        <v>31</v>
      </c>
      <c r="E101" s="191" t="s">
        <v>658</v>
      </c>
      <c r="F101" s="192" t="s">
        <v>49</v>
      </c>
    </row>
    <row r="102" spans="1:6" ht="22.5" customHeight="1" x14ac:dyDescent="0.2">
      <c r="A102" s="397"/>
      <c r="B102" s="188" t="s">
        <v>394</v>
      </c>
      <c r="C102" s="208">
        <v>45</v>
      </c>
      <c r="D102" s="208">
        <v>37</v>
      </c>
      <c r="E102" s="191" t="s">
        <v>658</v>
      </c>
      <c r="F102" s="192" t="s">
        <v>50</v>
      </c>
    </row>
    <row r="103" spans="1:6" ht="22.5" customHeight="1" x14ac:dyDescent="0.2">
      <c r="A103" s="397"/>
      <c r="B103" s="188" t="s">
        <v>752</v>
      </c>
      <c r="C103" s="208" t="s">
        <v>12</v>
      </c>
      <c r="D103" s="208">
        <v>33</v>
      </c>
      <c r="E103" s="210" t="s">
        <v>679</v>
      </c>
      <c r="F103" s="192" t="s">
        <v>753</v>
      </c>
    </row>
    <row r="104" spans="1:6" ht="22.5" customHeight="1" x14ac:dyDescent="0.2">
      <c r="A104" s="397"/>
      <c r="B104" s="188" t="s">
        <v>395</v>
      </c>
      <c r="C104" s="208">
        <v>46</v>
      </c>
      <c r="D104" s="208">
        <v>41</v>
      </c>
      <c r="E104" s="191" t="s">
        <v>658</v>
      </c>
      <c r="F104" s="192" t="s">
        <v>51</v>
      </c>
    </row>
    <row r="105" spans="1:6" ht="22.5" customHeight="1" x14ac:dyDescent="0.2">
      <c r="A105" s="397"/>
      <c r="B105" s="188" t="s">
        <v>395</v>
      </c>
      <c r="C105" s="208" t="s">
        <v>12</v>
      </c>
      <c r="D105" s="208">
        <v>44</v>
      </c>
      <c r="E105" s="191" t="s">
        <v>658</v>
      </c>
      <c r="F105" s="192" t="s">
        <v>52</v>
      </c>
    </row>
    <row r="106" spans="1:6" ht="22.5" customHeight="1" x14ac:dyDescent="0.2">
      <c r="A106" s="397"/>
      <c r="B106" s="188" t="s">
        <v>356</v>
      </c>
      <c r="C106" s="208">
        <v>50</v>
      </c>
      <c r="D106" s="208" t="s">
        <v>754</v>
      </c>
      <c r="E106" s="191" t="s">
        <v>658</v>
      </c>
      <c r="F106" s="192" t="s">
        <v>53</v>
      </c>
    </row>
    <row r="107" spans="1:6" ht="22.5" customHeight="1" x14ac:dyDescent="0.2">
      <c r="A107" s="397"/>
      <c r="B107" s="188" t="s">
        <v>357</v>
      </c>
      <c r="C107" s="208">
        <v>54</v>
      </c>
      <c r="D107" s="208" t="s">
        <v>755</v>
      </c>
      <c r="E107" s="191" t="s">
        <v>658</v>
      </c>
      <c r="F107" s="192" t="s">
        <v>53</v>
      </c>
    </row>
    <row r="108" spans="1:6" ht="22.5" customHeight="1" x14ac:dyDescent="0.2">
      <c r="A108" s="397"/>
      <c r="B108" s="188" t="s">
        <v>358</v>
      </c>
      <c r="C108" s="208">
        <v>59</v>
      </c>
      <c r="D108" s="208" t="s">
        <v>756</v>
      </c>
      <c r="E108" s="191" t="s">
        <v>658</v>
      </c>
      <c r="F108" s="192" t="s">
        <v>704</v>
      </c>
    </row>
    <row r="109" spans="1:6" ht="22.5" customHeight="1" x14ac:dyDescent="0.2">
      <c r="A109" s="397"/>
      <c r="B109" s="188" t="s">
        <v>387</v>
      </c>
      <c r="C109" s="208" t="s">
        <v>12</v>
      </c>
      <c r="D109" s="208">
        <v>61</v>
      </c>
      <c r="E109" s="191" t="s">
        <v>658</v>
      </c>
      <c r="F109" s="192" t="s">
        <v>54</v>
      </c>
    </row>
    <row r="110" spans="1:6" ht="22.5" customHeight="1" x14ac:dyDescent="0.2">
      <c r="A110" s="397"/>
      <c r="B110" s="188" t="s">
        <v>218</v>
      </c>
      <c r="C110" s="208" t="s">
        <v>12</v>
      </c>
      <c r="D110" s="208">
        <v>63</v>
      </c>
      <c r="E110" s="191" t="s">
        <v>658</v>
      </c>
      <c r="F110" s="192" t="s">
        <v>54</v>
      </c>
    </row>
    <row r="111" spans="1:6" ht="22.5" customHeight="1" x14ac:dyDescent="0.2">
      <c r="A111" s="397"/>
      <c r="B111" s="188" t="s">
        <v>214</v>
      </c>
      <c r="C111" s="208" t="s">
        <v>12</v>
      </c>
      <c r="D111" s="208">
        <v>67</v>
      </c>
      <c r="E111" s="191" t="s">
        <v>658</v>
      </c>
      <c r="F111" s="192" t="s">
        <v>54</v>
      </c>
    </row>
    <row r="112" spans="1:6" ht="22.5" customHeight="1" x14ac:dyDescent="0.2">
      <c r="A112" s="397"/>
      <c r="B112" s="188" t="s">
        <v>355</v>
      </c>
      <c r="C112" s="208">
        <v>71</v>
      </c>
      <c r="D112" s="208">
        <v>69</v>
      </c>
      <c r="E112" s="191" t="s">
        <v>658</v>
      </c>
      <c r="F112" s="192" t="s">
        <v>55</v>
      </c>
    </row>
    <row r="113" spans="1:6" ht="22.5" customHeight="1" x14ac:dyDescent="0.2">
      <c r="A113" s="397"/>
      <c r="B113" s="188" t="s">
        <v>445</v>
      </c>
      <c r="C113" s="208" t="s">
        <v>12</v>
      </c>
      <c r="D113" s="208">
        <v>71</v>
      </c>
      <c r="E113" s="191" t="s">
        <v>658</v>
      </c>
      <c r="F113" s="192" t="s">
        <v>56</v>
      </c>
    </row>
    <row r="114" spans="1:6" ht="25.5" x14ac:dyDescent="0.2">
      <c r="A114" s="397"/>
      <c r="B114" s="188" t="s">
        <v>361</v>
      </c>
      <c r="C114" s="208" t="s">
        <v>57</v>
      </c>
      <c r="D114" s="208" t="s">
        <v>757</v>
      </c>
      <c r="E114" s="210" t="s">
        <v>679</v>
      </c>
      <c r="F114" s="192" t="s">
        <v>759</v>
      </c>
    </row>
    <row r="115" spans="1:6" ht="22.5" customHeight="1" thickBot="1" x14ac:dyDescent="0.25">
      <c r="A115" s="398"/>
      <c r="B115" s="193" t="s">
        <v>58</v>
      </c>
      <c r="C115" s="221" t="s">
        <v>12</v>
      </c>
      <c r="D115" s="221" t="s">
        <v>758</v>
      </c>
      <c r="E115" s="195" t="s">
        <v>658</v>
      </c>
      <c r="F115" s="196" t="s">
        <v>59</v>
      </c>
    </row>
    <row r="116" spans="1:6" ht="22.5" customHeight="1" x14ac:dyDescent="0.2">
      <c r="A116" s="396" t="s">
        <v>60</v>
      </c>
      <c r="B116" s="203" t="s">
        <v>663</v>
      </c>
      <c r="C116" s="204" t="s">
        <v>664</v>
      </c>
      <c r="D116" s="204" t="s">
        <v>664</v>
      </c>
      <c r="E116" s="186" t="s">
        <v>658</v>
      </c>
      <c r="F116" s="206" t="s">
        <v>665</v>
      </c>
    </row>
    <row r="117" spans="1:6" ht="22.5" customHeight="1" x14ac:dyDescent="0.2">
      <c r="A117" s="400"/>
      <c r="B117" s="280" t="s">
        <v>175</v>
      </c>
      <c r="C117" s="281" t="s">
        <v>12</v>
      </c>
      <c r="D117" s="281" t="s">
        <v>61</v>
      </c>
      <c r="E117" s="282" t="s">
        <v>658</v>
      </c>
      <c r="F117" s="283" t="s">
        <v>62</v>
      </c>
    </row>
    <row r="118" spans="1:6" ht="22.5" customHeight="1" thickBot="1" x14ac:dyDescent="0.25">
      <c r="A118" s="398"/>
      <c r="B118" s="193" t="s">
        <v>175</v>
      </c>
      <c r="C118" s="221" t="s">
        <v>12</v>
      </c>
      <c r="D118" s="284">
        <v>3</v>
      </c>
      <c r="E118" s="195" t="s">
        <v>658</v>
      </c>
      <c r="F118" s="196" t="s">
        <v>707</v>
      </c>
    </row>
    <row r="119" spans="1:6" ht="22.5" customHeight="1" x14ac:dyDescent="0.2">
      <c r="A119" s="396" t="s">
        <v>63</v>
      </c>
      <c r="B119" s="203" t="s">
        <v>663</v>
      </c>
      <c r="C119" s="204" t="s">
        <v>664</v>
      </c>
      <c r="D119" s="204" t="s">
        <v>664</v>
      </c>
      <c r="E119" s="186" t="s">
        <v>658</v>
      </c>
      <c r="F119" s="206" t="s">
        <v>665</v>
      </c>
    </row>
    <row r="120" spans="1:6" ht="22.5" customHeight="1" x14ac:dyDescent="0.2">
      <c r="A120" s="400"/>
      <c r="B120" s="280" t="s">
        <v>175</v>
      </c>
      <c r="C120" s="281" t="s">
        <v>12</v>
      </c>
      <c r="D120" s="281" t="s">
        <v>64</v>
      </c>
      <c r="E120" s="282" t="s">
        <v>658</v>
      </c>
      <c r="F120" s="283" t="s">
        <v>62</v>
      </c>
    </row>
    <row r="121" spans="1:6" ht="22.5" customHeight="1" thickBot="1" x14ac:dyDescent="0.25">
      <c r="A121" s="398"/>
      <c r="B121" s="193" t="s">
        <v>175</v>
      </c>
      <c r="C121" s="221" t="s">
        <v>12</v>
      </c>
      <c r="D121" s="284">
        <v>3</v>
      </c>
      <c r="E121" s="195" t="s">
        <v>658</v>
      </c>
      <c r="F121" s="196" t="s">
        <v>707</v>
      </c>
    </row>
    <row r="122" spans="1:6" ht="22.5" customHeight="1" x14ac:dyDescent="0.2">
      <c r="A122" s="396" t="s">
        <v>65</v>
      </c>
      <c r="B122" s="203" t="s">
        <v>663</v>
      </c>
      <c r="C122" s="204" t="s">
        <v>664</v>
      </c>
      <c r="D122" s="204" t="s">
        <v>664</v>
      </c>
      <c r="E122" s="186" t="s">
        <v>658</v>
      </c>
      <c r="F122" s="206" t="s">
        <v>665</v>
      </c>
    </row>
    <row r="123" spans="1:6" ht="22.5" customHeight="1" x14ac:dyDescent="0.2">
      <c r="A123" s="397"/>
      <c r="B123" s="188" t="s">
        <v>66</v>
      </c>
      <c r="C123" s="208" t="s">
        <v>67</v>
      </c>
      <c r="D123" s="208" t="s">
        <v>68</v>
      </c>
      <c r="E123" s="191" t="s">
        <v>658</v>
      </c>
      <c r="F123" s="192" t="s">
        <v>69</v>
      </c>
    </row>
    <row r="124" spans="1:6" ht="22.5" customHeight="1" x14ac:dyDescent="0.2">
      <c r="A124" s="397"/>
      <c r="B124" s="188" t="s">
        <v>66</v>
      </c>
      <c r="C124" s="208" t="s">
        <v>70</v>
      </c>
      <c r="D124" s="208" t="s">
        <v>71</v>
      </c>
      <c r="E124" s="191" t="s">
        <v>658</v>
      </c>
      <c r="F124" s="192" t="s">
        <v>72</v>
      </c>
    </row>
    <row r="125" spans="1:6" ht="22.5" customHeight="1" x14ac:dyDescent="0.2">
      <c r="A125" s="397"/>
      <c r="B125" s="188" t="s">
        <v>587</v>
      </c>
      <c r="C125" s="208">
        <v>4</v>
      </c>
      <c r="D125" s="208">
        <v>34</v>
      </c>
      <c r="E125" s="191" t="s">
        <v>658</v>
      </c>
      <c r="F125" s="192" t="s">
        <v>73</v>
      </c>
    </row>
    <row r="126" spans="1:6" ht="22.5" customHeight="1" x14ac:dyDescent="0.2">
      <c r="A126" s="397"/>
      <c r="B126" s="188" t="s">
        <v>614</v>
      </c>
      <c r="C126" s="208" t="s">
        <v>12</v>
      </c>
      <c r="D126" s="208">
        <v>40</v>
      </c>
      <c r="E126" s="191" t="s">
        <v>658</v>
      </c>
      <c r="F126" s="192" t="s">
        <v>692</v>
      </c>
    </row>
    <row r="127" spans="1:6" ht="22.5" customHeight="1" x14ac:dyDescent="0.2">
      <c r="A127" s="397"/>
      <c r="B127" s="188" t="s">
        <v>617</v>
      </c>
      <c r="C127" s="208">
        <v>7</v>
      </c>
      <c r="D127" s="208">
        <v>42</v>
      </c>
      <c r="E127" s="191" t="s">
        <v>658</v>
      </c>
      <c r="F127" s="192" t="s">
        <v>632</v>
      </c>
    </row>
    <row r="128" spans="1:6" ht="22.5" customHeight="1" x14ac:dyDescent="0.2">
      <c r="A128" s="397"/>
      <c r="B128" s="188" t="s">
        <v>742</v>
      </c>
      <c r="C128" s="208">
        <v>10</v>
      </c>
      <c r="D128" s="208">
        <v>52</v>
      </c>
      <c r="E128" s="191" t="s">
        <v>658</v>
      </c>
      <c r="F128" s="192" t="s">
        <v>744</v>
      </c>
    </row>
    <row r="129" spans="1:6" ht="22.5" customHeight="1" x14ac:dyDescent="0.2">
      <c r="A129" s="397"/>
      <c r="B129" s="188" t="s">
        <v>743</v>
      </c>
      <c r="C129" s="208">
        <v>11</v>
      </c>
      <c r="D129" s="208">
        <v>54</v>
      </c>
      <c r="E129" s="191" t="s">
        <v>658</v>
      </c>
      <c r="F129" s="192" t="s">
        <v>744</v>
      </c>
    </row>
    <row r="130" spans="1:6" ht="25.5" x14ac:dyDescent="0.2">
      <c r="A130" s="397"/>
      <c r="B130" s="188" t="s">
        <v>593</v>
      </c>
      <c r="C130" s="208">
        <v>15</v>
      </c>
      <c r="D130" s="208">
        <v>56</v>
      </c>
      <c r="E130" s="191" t="s">
        <v>658</v>
      </c>
      <c r="F130" s="192" t="s">
        <v>74</v>
      </c>
    </row>
    <row r="131" spans="1:6" ht="22.5" customHeight="1" x14ac:dyDescent="0.2">
      <c r="A131" s="397"/>
      <c r="B131" s="188" t="s">
        <v>622</v>
      </c>
      <c r="C131" s="208">
        <v>17</v>
      </c>
      <c r="D131" s="208">
        <v>70</v>
      </c>
      <c r="E131" s="210" t="s">
        <v>679</v>
      </c>
      <c r="F131" s="192" t="s">
        <v>735</v>
      </c>
    </row>
    <row r="132" spans="1:6" ht="22.5" customHeight="1" thickBot="1" x14ac:dyDescent="0.25">
      <c r="A132" s="398"/>
      <c r="B132" s="193" t="s">
        <v>611</v>
      </c>
      <c r="C132" s="221" t="s">
        <v>75</v>
      </c>
      <c r="D132" s="221" t="s">
        <v>76</v>
      </c>
      <c r="E132" s="195" t="s">
        <v>658</v>
      </c>
      <c r="F132" s="196" t="s">
        <v>77</v>
      </c>
    </row>
    <row r="133" spans="1:6" ht="27" customHeight="1" thickBot="1" x14ac:dyDescent="0.25">
      <c r="A133" s="183" t="s">
        <v>78</v>
      </c>
      <c r="B133" s="222" t="s">
        <v>663</v>
      </c>
      <c r="C133" s="223" t="s">
        <v>664</v>
      </c>
      <c r="D133" s="223" t="s">
        <v>664</v>
      </c>
      <c r="E133" s="199" t="s">
        <v>658</v>
      </c>
      <c r="F133" s="200" t="s">
        <v>79</v>
      </c>
    </row>
    <row r="134" spans="1:6" ht="27" customHeight="1" thickBot="1" x14ac:dyDescent="0.25">
      <c r="A134" s="197" t="s">
        <v>710</v>
      </c>
      <c r="B134" s="222" t="s">
        <v>663</v>
      </c>
      <c r="C134" s="223" t="s">
        <v>12</v>
      </c>
      <c r="D134" s="223" t="s">
        <v>664</v>
      </c>
      <c r="E134" s="199" t="s">
        <v>658</v>
      </c>
      <c r="F134" s="200" t="s">
        <v>712</v>
      </c>
    </row>
    <row r="135" spans="1:6" ht="27" customHeight="1" thickBot="1" x14ac:dyDescent="0.25">
      <c r="A135" s="197" t="s">
        <v>711</v>
      </c>
      <c r="B135" s="222" t="s">
        <v>663</v>
      </c>
      <c r="C135" s="223" t="s">
        <v>12</v>
      </c>
      <c r="D135" s="223" t="s">
        <v>664</v>
      </c>
      <c r="E135" s="199" t="s">
        <v>658</v>
      </c>
      <c r="F135" s="200" t="s">
        <v>713</v>
      </c>
    </row>
  </sheetData>
  <sheetProtection password="EFB4" sheet="1" objects="1" scenarios="1" selectLockedCells="1" selectUnlockedCells="1"/>
  <mergeCells count="9">
    <mergeCell ref="A122:A132"/>
    <mergeCell ref="A4:A7"/>
    <mergeCell ref="A9:A12"/>
    <mergeCell ref="A13:A93"/>
    <mergeCell ref="F44:F48"/>
    <mergeCell ref="F88:F89"/>
    <mergeCell ref="A94:A115"/>
    <mergeCell ref="A116:A118"/>
    <mergeCell ref="A119:A121"/>
  </mergeCells>
  <phoneticPr fontId="54" type="noConversion"/>
  <pageMargins left="0.7" right="0.7" top="0.75" bottom="0.75" header="0.3" footer="0.3"/>
  <pageSetup paperSize="3" scale="50" fitToHeight="2" orientation="portrait" horizontalDpi="1200" verticalDpi="1200" r:id="rId1"/>
  <headerFooter>
    <oddFooter>&amp;LCopyright Fluid Sealing Association 2014. 
All rights reserved.</oddFooter>
  </headerFooter>
  <rowBreaks count="1" manualBreakCount="1">
    <brk id="9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showRowColHeaders="0" zoomScale="85" zoomScaleNormal="85" zoomScaleSheetLayoutView="70" workbookViewId="0">
      <pane xSplit="1" ySplit="3" topLeftCell="B4" activePane="bottomRight" state="frozen"/>
      <selection pane="topRight" activeCell="B1" sqref="B1"/>
      <selection pane="bottomLeft" activeCell="A4" sqref="A4"/>
      <selection pane="bottomRight" activeCell="B4" sqref="B4"/>
    </sheetView>
  </sheetViews>
  <sheetFormatPr defaultRowHeight="12.75" x14ac:dyDescent="0.2"/>
  <cols>
    <col min="1" max="1" width="26.85546875" customWidth="1"/>
    <col min="2" max="2" width="43.140625" bestFit="1" customWidth="1"/>
    <col min="3" max="4" width="10.85546875" customWidth="1"/>
    <col min="5" max="5" width="10.28515625" bestFit="1" customWidth="1"/>
    <col min="6" max="6" width="138.42578125" style="27" customWidth="1"/>
  </cols>
  <sheetData>
    <row r="1" spans="1:6" ht="14.25" x14ac:dyDescent="0.2">
      <c r="A1" s="1" t="s">
        <v>578</v>
      </c>
      <c r="B1" s="1"/>
    </row>
    <row r="2" spans="1:6" ht="23.25" x14ac:dyDescent="0.35">
      <c r="A2" s="314" t="s">
        <v>777</v>
      </c>
    </row>
    <row r="3" spans="1:6" ht="60.75" thickBot="1" x14ac:dyDescent="0.25">
      <c r="A3" s="180" t="s">
        <v>650</v>
      </c>
      <c r="B3" s="180" t="s">
        <v>651</v>
      </c>
      <c r="C3" s="181" t="s">
        <v>778</v>
      </c>
      <c r="D3" s="181" t="s">
        <v>653</v>
      </c>
      <c r="E3" s="181" t="s">
        <v>654</v>
      </c>
      <c r="F3" s="224" t="s">
        <v>655</v>
      </c>
    </row>
    <row r="4" spans="1:6" ht="22.5" customHeight="1" x14ac:dyDescent="0.2">
      <c r="A4" s="399" t="s">
        <v>656</v>
      </c>
      <c r="B4" s="184" t="s">
        <v>657</v>
      </c>
      <c r="C4" s="367" t="s">
        <v>779</v>
      </c>
      <c r="D4" s="367" t="s">
        <v>779</v>
      </c>
      <c r="E4" s="186" t="s">
        <v>658</v>
      </c>
      <c r="F4" s="368" t="s">
        <v>780</v>
      </c>
    </row>
    <row r="5" spans="1:6" ht="22.5" customHeight="1" thickBot="1" x14ac:dyDescent="0.25">
      <c r="A5" s="400"/>
      <c r="B5" s="369" t="s">
        <v>781</v>
      </c>
      <c r="C5" s="373" t="s">
        <v>12</v>
      </c>
      <c r="D5" s="362">
        <v>16</v>
      </c>
      <c r="E5" s="374" t="s">
        <v>658</v>
      </c>
      <c r="F5" s="375" t="s">
        <v>771</v>
      </c>
    </row>
    <row r="6" spans="1:6" ht="22.5" customHeight="1" thickBot="1" x14ac:dyDescent="0.25">
      <c r="A6" s="379" t="s">
        <v>671</v>
      </c>
      <c r="B6" s="376" t="s">
        <v>236</v>
      </c>
      <c r="C6" s="198">
        <v>223</v>
      </c>
      <c r="D6" s="198">
        <v>223</v>
      </c>
      <c r="E6" s="377" t="s">
        <v>679</v>
      </c>
      <c r="F6" s="378" t="s">
        <v>782</v>
      </c>
    </row>
    <row r="7" spans="1:6" ht="22.5" customHeight="1" thickBot="1" x14ac:dyDescent="0.25">
      <c r="A7" s="197" t="s">
        <v>710</v>
      </c>
      <c r="B7" s="372" t="s">
        <v>789</v>
      </c>
      <c r="C7" s="223" t="s">
        <v>12</v>
      </c>
      <c r="D7" s="223">
        <v>28</v>
      </c>
      <c r="E7" s="199" t="s">
        <v>658</v>
      </c>
      <c r="F7" s="371" t="s">
        <v>788</v>
      </c>
    </row>
    <row r="8" spans="1:6" ht="22.5" customHeight="1" thickBot="1" x14ac:dyDescent="0.25">
      <c r="A8" s="370" t="s">
        <v>783</v>
      </c>
      <c r="B8" s="222" t="s">
        <v>663</v>
      </c>
      <c r="C8" s="223" t="s">
        <v>12</v>
      </c>
      <c r="D8" s="223" t="s">
        <v>664</v>
      </c>
      <c r="E8" s="199" t="s">
        <v>658</v>
      </c>
      <c r="F8" s="371" t="s">
        <v>784</v>
      </c>
    </row>
    <row r="9" spans="1:6" ht="22.5" customHeight="1" thickBot="1" x14ac:dyDescent="0.25">
      <c r="A9" s="370" t="s">
        <v>785</v>
      </c>
      <c r="B9" s="222" t="s">
        <v>663</v>
      </c>
      <c r="C9" s="223" t="s">
        <v>12</v>
      </c>
      <c r="D9" s="223" t="s">
        <v>664</v>
      </c>
      <c r="E9" s="199" t="s">
        <v>658</v>
      </c>
      <c r="F9" s="371" t="s">
        <v>786</v>
      </c>
    </row>
  </sheetData>
  <sheetProtection password="EFB4" sheet="1" objects="1" scenarios="1" selectLockedCells="1" selectUnlockedCells="1"/>
  <mergeCells count="1">
    <mergeCell ref="A4:A5"/>
  </mergeCells>
  <pageMargins left="0.7" right="0.7" top="0.75" bottom="0.75" header="0.3" footer="0.3"/>
  <pageSetup paperSize="3" scale="50" fitToHeight="2" orientation="portrait" horizontalDpi="1200" verticalDpi="1200" r:id="rId1"/>
  <headerFooter>
    <oddFooter>&amp;LCopyright Fluid Sealing Association 2014. 
All rights reserved.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E49"/>
  <sheetViews>
    <sheetView showGridLines="0" showRowColHeaders="0" zoomScale="85" zoomScaleNormal="85" zoomScaleSheetLayoutView="85" workbookViewId="0">
      <selection activeCell="E25" sqref="E25"/>
    </sheetView>
  </sheetViews>
  <sheetFormatPr defaultRowHeight="12.75" x14ac:dyDescent="0.2"/>
  <cols>
    <col min="1" max="1" width="11.42578125" customWidth="1"/>
    <col min="2" max="3" width="4.140625" customWidth="1"/>
    <col min="4" max="4" width="62.85546875" customWidth="1"/>
    <col min="5" max="5" width="57" customWidth="1"/>
  </cols>
  <sheetData>
    <row r="2" spans="1:5" ht="93.75" customHeight="1" x14ac:dyDescent="0.2"/>
    <row r="3" spans="1:5" ht="25.5" x14ac:dyDescent="0.35">
      <c r="B3" s="28" t="s">
        <v>553</v>
      </c>
      <c r="C3" s="28"/>
    </row>
    <row r="6" spans="1:5" ht="17.25" x14ac:dyDescent="0.3">
      <c r="B6" s="30" t="s">
        <v>554</v>
      </c>
      <c r="C6" s="30"/>
    </row>
    <row r="8" spans="1:5" ht="28.5" customHeight="1" x14ac:dyDescent="0.2">
      <c r="A8" s="27"/>
      <c r="D8" s="380" t="s">
        <v>555</v>
      </c>
      <c r="E8" s="380"/>
    </row>
    <row r="9" spans="1:5" x14ac:dyDescent="0.2">
      <c r="D9" s="33"/>
      <c r="E9" s="33"/>
    </row>
    <row r="10" spans="1:5" x14ac:dyDescent="0.2">
      <c r="D10" s="33"/>
      <c r="E10" s="33"/>
    </row>
    <row r="11" spans="1:5" ht="17.25" x14ac:dyDescent="0.3">
      <c r="B11" s="30" t="s">
        <v>556</v>
      </c>
      <c r="C11" s="30"/>
      <c r="D11" s="33"/>
      <c r="E11" s="33"/>
    </row>
    <row r="12" spans="1:5" ht="15" x14ac:dyDescent="0.2">
      <c r="B12" s="30"/>
      <c r="C12" s="30"/>
      <c r="D12" s="33"/>
      <c r="E12" s="33"/>
    </row>
    <row r="13" spans="1:5" ht="28.5" customHeight="1" x14ac:dyDescent="0.2">
      <c r="B13" s="30"/>
      <c r="C13" s="30"/>
      <c r="D13" s="380" t="s">
        <v>557</v>
      </c>
      <c r="E13" s="380"/>
    </row>
    <row r="14" spans="1:5" x14ac:dyDescent="0.2">
      <c r="D14" s="33"/>
      <c r="E14" s="33"/>
    </row>
    <row r="15" spans="1:5" x14ac:dyDescent="0.2">
      <c r="D15" s="33"/>
      <c r="E15" s="33"/>
    </row>
    <row r="16" spans="1:5" ht="17.25" x14ac:dyDescent="0.3">
      <c r="B16" s="30" t="s">
        <v>559</v>
      </c>
      <c r="D16" s="33"/>
      <c r="E16" s="33"/>
    </row>
    <row r="17" spans="2:5" x14ac:dyDescent="0.2">
      <c r="D17" s="33"/>
      <c r="E17" s="33"/>
    </row>
    <row r="18" spans="2:5" ht="28.5" customHeight="1" x14ac:dyDescent="0.2">
      <c r="D18" s="380" t="s">
        <v>558</v>
      </c>
      <c r="E18" s="380"/>
    </row>
    <row r="19" spans="2:5" x14ac:dyDescent="0.2">
      <c r="D19" s="33"/>
      <c r="E19" s="33"/>
    </row>
    <row r="20" spans="2:5" x14ac:dyDescent="0.2">
      <c r="D20" s="33"/>
      <c r="E20" s="33"/>
    </row>
    <row r="21" spans="2:5" ht="17.25" x14ac:dyDescent="0.3">
      <c r="B21" s="35" t="s">
        <v>560</v>
      </c>
      <c r="D21" s="33"/>
      <c r="E21" s="33"/>
    </row>
    <row r="22" spans="2:5" x14ac:dyDescent="0.2">
      <c r="D22" s="33"/>
      <c r="E22" s="33"/>
    </row>
    <row r="23" spans="2:5" ht="42.75" customHeight="1" x14ac:dyDescent="0.2">
      <c r="D23" s="380" t="s">
        <v>561</v>
      </c>
      <c r="E23" s="380"/>
    </row>
    <row r="24" spans="2:5" x14ac:dyDescent="0.2">
      <c r="D24" s="33"/>
      <c r="E24" s="33"/>
    </row>
    <row r="25" spans="2:5" x14ac:dyDescent="0.2">
      <c r="D25" s="33"/>
      <c r="E25" s="33"/>
    </row>
    <row r="26" spans="2:5" ht="17.25" x14ac:dyDescent="0.3">
      <c r="B26" s="35" t="s">
        <v>562</v>
      </c>
      <c r="D26" s="33"/>
      <c r="E26" s="33"/>
    </row>
    <row r="27" spans="2:5" x14ac:dyDescent="0.2">
      <c r="D27" s="33"/>
      <c r="E27" s="33"/>
    </row>
    <row r="28" spans="2:5" ht="42.75" customHeight="1" x14ac:dyDescent="0.2">
      <c r="D28" s="380" t="s">
        <v>683</v>
      </c>
      <c r="E28" s="380"/>
    </row>
    <row r="29" spans="2:5" x14ac:dyDescent="0.2">
      <c r="D29" s="33"/>
      <c r="E29" s="33"/>
    </row>
    <row r="30" spans="2:5" x14ac:dyDescent="0.2">
      <c r="D30" s="33"/>
      <c r="E30" s="33"/>
    </row>
    <row r="31" spans="2:5" ht="17.25" x14ac:dyDescent="0.3">
      <c r="B31" s="35" t="s">
        <v>563</v>
      </c>
      <c r="D31" s="33"/>
      <c r="E31" s="33"/>
    </row>
    <row r="32" spans="2:5" x14ac:dyDescent="0.2">
      <c r="D32" s="33"/>
      <c r="E32" s="33"/>
    </row>
    <row r="33" spans="2:5" ht="42.75" customHeight="1" x14ac:dyDescent="0.2">
      <c r="D33" s="380" t="s">
        <v>567</v>
      </c>
      <c r="E33" s="380"/>
    </row>
    <row r="34" spans="2:5" x14ac:dyDescent="0.2">
      <c r="D34" s="33"/>
      <c r="E34" s="33"/>
    </row>
    <row r="35" spans="2:5" x14ac:dyDescent="0.2">
      <c r="D35" s="33"/>
      <c r="E35" s="33"/>
    </row>
    <row r="36" spans="2:5" ht="17.25" x14ac:dyDescent="0.3">
      <c r="B36" s="35" t="s">
        <v>564</v>
      </c>
      <c r="D36" s="33"/>
      <c r="E36" s="33"/>
    </row>
    <row r="37" spans="2:5" x14ac:dyDescent="0.2">
      <c r="D37" s="33"/>
      <c r="E37" s="33"/>
    </row>
    <row r="38" spans="2:5" ht="42.75" customHeight="1" x14ac:dyDescent="0.2">
      <c r="D38" s="380" t="s">
        <v>568</v>
      </c>
      <c r="E38" s="380"/>
    </row>
    <row r="39" spans="2:5" x14ac:dyDescent="0.2">
      <c r="D39" s="33"/>
      <c r="E39" s="33"/>
    </row>
    <row r="40" spans="2:5" x14ac:dyDescent="0.2">
      <c r="D40" s="33"/>
      <c r="E40" s="33"/>
    </row>
    <row r="41" spans="2:5" ht="17.25" x14ac:dyDescent="0.3">
      <c r="B41" s="35" t="s">
        <v>565</v>
      </c>
      <c r="D41" s="33"/>
      <c r="E41" s="33"/>
    </row>
    <row r="42" spans="2:5" x14ac:dyDescent="0.2">
      <c r="D42" s="33"/>
      <c r="E42" s="33"/>
    </row>
    <row r="43" spans="2:5" ht="42.75" customHeight="1" x14ac:dyDescent="0.2">
      <c r="D43" s="380" t="s">
        <v>684</v>
      </c>
      <c r="E43" s="380"/>
    </row>
    <row r="44" spans="2:5" x14ac:dyDescent="0.2">
      <c r="D44" s="33"/>
      <c r="E44" s="33"/>
    </row>
    <row r="45" spans="2:5" x14ac:dyDescent="0.2">
      <c r="D45" s="33"/>
      <c r="E45" s="33"/>
    </row>
    <row r="46" spans="2:5" ht="17.25" x14ac:dyDescent="0.3">
      <c r="B46" s="35" t="s">
        <v>566</v>
      </c>
      <c r="D46" s="33"/>
      <c r="E46" s="33"/>
    </row>
    <row r="47" spans="2:5" x14ac:dyDescent="0.2">
      <c r="D47" s="33"/>
      <c r="E47" s="33"/>
    </row>
    <row r="48" spans="2:5" ht="42.75" customHeight="1" x14ac:dyDescent="0.2">
      <c r="D48" s="380" t="s">
        <v>569</v>
      </c>
      <c r="E48" s="380"/>
    </row>
    <row r="49" spans="4:5" x14ac:dyDescent="0.2">
      <c r="D49" s="33"/>
      <c r="E49" s="33"/>
    </row>
  </sheetData>
  <sheetProtection password="EFB4" sheet="1" objects="1" scenarios="1" selectLockedCells="1" selectUnlockedCells="1"/>
  <mergeCells count="9">
    <mergeCell ref="D48:E48"/>
    <mergeCell ref="D38:E38"/>
    <mergeCell ref="D18:E18"/>
    <mergeCell ref="D8:E8"/>
    <mergeCell ref="D23:E23"/>
    <mergeCell ref="D28:E28"/>
    <mergeCell ref="D33:E33"/>
    <mergeCell ref="D13:E13"/>
    <mergeCell ref="D43:E43"/>
  </mergeCells>
  <phoneticPr fontId="0" type="noConversion"/>
  <pageMargins left="0.7" right="0.5" top="0.75" bottom="0.75" header="0.3" footer="0.3"/>
  <pageSetup scale="67" orientation="portrait" horizontalDpi="1200" verticalDpi="1200" r:id="rId1"/>
  <headerFooter>
    <oddFooter>&amp;LCopyright Fluid Sealing Association 2014. 
All rights reserved.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2:E57"/>
  <sheetViews>
    <sheetView showGridLines="0" showRowColHeaders="0" zoomScale="85" zoomScaleNormal="85" zoomScaleSheetLayoutView="85" workbookViewId="0">
      <selection activeCell="E25" sqref="E25"/>
    </sheetView>
  </sheetViews>
  <sheetFormatPr defaultRowHeight="12.75" x14ac:dyDescent="0.2"/>
  <cols>
    <col min="1" max="1" width="11.42578125" customWidth="1"/>
    <col min="2" max="3" width="4.140625" customWidth="1"/>
    <col min="4" max="4" width="62.85546875" customWidth="1"/>
    <col min="5" max="5" width="57" customWidth="1"/>
  </cols>
  <sheetData>
    <row r="2" spans="2:5" ht="93.75" customHeight="1" x14ac:dyDescent="0.2"/>
    <row r="3" spans="2:5" ht="25.5" x14ac:dyDescent="0.35">
      <c r="B3" s="28" t="s">
        <v>570</v>
      </c>
      <c r="C3" s="28"/>
    </row>
    <row r="4" spans="2:5" ht="12.75" customHeight="1" x14ac:dyDescent="0.2"/>
    <row r="5" spans="2:5" ht="15" x14ac:dyDescent="0.2">
      <c r="B5" s="30" t="s">
        <v>571</v>
      </c>
      <c r="C5" s="30"/>
    </row>
    <row r="6" spans="2:5" ht="12.75" customHeight="1" x14ac:dyDescent="0.2">
      <c r="B6" s="30"/>
      <c r="C6" s="30"/>
    </row>
    <row r="7" spans="2:5" ht="45" customHeight="1" x14ac:dyDescent="0.2">
      <c r="B7" s="30"/>
      <c r="C7" s="30"/>
      <c r="D7" s="380" t="s">
        <v>572</v>
      </c>
      <c r="E7" s="380"/>
    </row>
    <row r="8" spans="2:5" ht="12.75" customHeight="1" x14ac:dyDescent="0.2">
      <c r="B8" s="30"/>
      <c r="C8" s="30"/>
    </row>
    <row r="9" spans="2:5" ht="59.25" customHeight="1" x14ac:dyDescent="0.2">
      <c r="B9" s="30"/>
      <c r="C9" s="30"/>
      <c r="D9" s="380" t="s">
        <v>573</v>
      </c>
      <c r="E9" s="380"/>
    </row>
    <row r="10" spans="2:5" ht="12.75" customHeight="1" x14ac:dyDescent="0.2">
      <c r="B10" s="30"/>
      <c r="C10" s="30"/>
    </row>
    <row r="11" spans="2:5" ht="127.5" customHeight="1" x14ac:dyDescent="0.2">
      <c r="B11" s="30"/>
      <c r="C11" s="30"/>
    </row>
    <row r="12" spans="2:5" ht="7.5" customHeight="1" x14ac:dyDescent="0.2">
      <c r="B12" s="30"/>
      <c r="C12" s="30"/>
    </row>
    <row r="13" spans="2:5" ht="105" customHeight="1" x14ac:dyDescent="0.2">
      <c r="B13" s="30"/>
      <c r="C13" s="30"/>
      <c r="D13" s="380" t="s">
        <v>580</v>
      </c>
      <c r="E13" s="380"/>
    </row>
    <row r="14" spans="2:5" ht="12.75" customHeight="1" x14ac:dyDescent="0.2">
      <c r="B14" s="30"/>
      <c r="C14" s="30"/>
      <c r="D14" s="31"/>
      <c r="E14" s="31"/>
    </row>
    <row r="15" spans="2:5" ht="129.75" customHeight="1" x14ac:dyDescent="0.2">
      <c r="B15" s="30"/>
      <c r="C15" s="30"/>
    </row>
    <row r="16" spans="2:5" ht="7.5" customHeight="1" x14ac:dyDescent="0.2">
      <c r="B16" s="30"/>
      <c r="C16" s="30"/>
    </row>
    <row r="17" spans="2:5" ht="60" customHeight="1" x14ac:dyDescent="0.2">
      <c r="B17" s="30"/>
      <c r="C17" s="30"/>
      <c r="D17" s="380" t="s">
        <v>581</v>
      </c>
      <c r="E17" s="380"/>
    </row>
    <row r="18" spans="2:5" ht="12.75" customHeight="1" x14ac:dyDescent="0.2">
      <c r="B18" s="30"/>
      <c r="C18" s="30"/>
    </row>
    <row r="19" spans="2:5" ht="144.75" customHeight="1" x14ac:dyDescent="0.2">
      <c r="B19" s="30"/>
      <c r="C19" s="30"/>
    </row>
    <row r="20" spans="2:5" ht="7.5" customHeight="1" x14ac:dyDescent="0.2">
      <c r="B20" s="30"/>
      <c r="C20" s="30"/>
    </row>
    <row r="21" spans="2:5" ht="120" customHeight="1" x14ac:dyDescent="0.2">
      <c r="B21" s="30"/>
      <c r="C21" s="30"/>
      <c r="D21" s="380" t="s">
        <v>582</v>
      </c>
      <c r="E21" s="380"/>
    </row>
    <row r="22" spans="2:5" ht="12" customHeight="1" x14ac:dyDescent="0.2">
      <c r="B22" s="30"/>
      <c r="C22" s="30"/>
      <c r="D22" s="31"/>
      <c r="E22" s="31"/>
    </row>
    <row r="23" spans="2:5" ht="15" x14ac:dyDescent="0.2">
      <c r="B23" s="30" t="s">
        <v>575</v>
      </c>
      <c r="C23" s="30"/>
      <c r="D23" s="31"/>
      <c r="E23" s="31"/>
    </row>
    <row r="24" spans="2:5" ht="12" customHeight="1" x14ac:dyDescent="0.2">
      <c r="B24" s="30"/>
      <c r="C24" s="30"/>
      <c r="D24" s="31"/>
      <c r="E24" s="31"/>
    </row>
    <row r="25" spans="2:5" ht="12" customHeight="1" x14ac:dyDescent="0.2">
      <c r="B25" s="30"/>
      <c r="C25" s="30"/>
      <c r="D25" s="31"/>
      <c r="E25" s="31"/>
    </row>
    <row r="26" spans="2:5" ht="12" customHeight="1" x14ac:dyDescent="0.2">
      <c r="B26" s="30"/>
      <c r="C26" s="30"/>
      <c r="D26" s="31"/>
      <c r="E26" s="31"/>
    </row>
    <row r="27" spans="2:5" ht="12" customHeight="1" x14ac:dyDescent="0.2">
      <c r="B27" s="30"/>
      <c r="C27" s="30"/>
      <c r="D27" s="31"/>
      <c r="E27" s="31"/>
    </row>
    <row r="28" spans="2:5" ht="12" customHeight="1" x14ac:dyDescent="0.2">
      <c r="B28" s="30"/>
      <c r="C28" s="30"/>
      <c r="D28" s="31"/>
      <c r="E28" s="31"/>
    </row>
    <row r="29" spans="2:5" ht="12" customHeight="1" x14ac:dyDescent="0.2">
      <c r="B29" s="30"/>
      <c r="C29" s="30"/>
      <c r="D29" s="31"/>
      <c r="E29" s="31"/>
    </row>
    <row r="30" spans="2:5" ht="12" customHeight="1" x14ac:dyDescent="0.2">
      <c r="B30" s="30"/>
      <c r="C30" s="30"/>
      <c r="D30" s="31"/>
      <c r="E30" s="31"/>
    </row>
    <row r="31" spans="2:5" ht="12" customHeight="1" x14ac:dyDescent="0.2">
      <c r="B31" s="30"/>
      <c r="C31" s="30"/>
      <c r="D31" s="31"/>
      <c r="E31" s="31"/>
    </row>
    <row r="32" spans="2:5" ht="12" customHeight="1" x14ac:dyDescent="0.2">
      <c r="B32" s="30"/>
      <c r="C32" s="30"/>
      <c r="D32" s="31"/>
      <c r="E32" s="31"/>
    </row>
    <row r="33" spans="2:5" ht="12" customHeight="1" x14ac:dyDescent="0.2">
      <c r="B33" s="30"/>
      <c r="C33" s="30"/>
      <c r="D33" s="31"/>
      <c r="E33" s="31"/>
    </row>
    <row r="34" spans="2:5" ht="12" customHeight="1" x14ac:dyDescent="0.2">
      <c r="B34" s="30"/>
      <c r="C34" s="30"/>
      <c r="D34" s="31"/>
      <c r="E34" s="31"/>
    </row>
    <row r="35" spans="2:5" ht="12" customHeight="1" x14ac:dyDescent="0.2">
      <c r="B35" s="30"/>
      <c r="C35" s="30"/>
      <c r="D35" s="31"/>
      <c r="E35" s="31"/>
    </row>
    <row r="36" spans="2:5" ht="12" customHeight="1" x14ac:dyDescent="0.2">
      <c r="B36" s="30"/>
      <c r="C36" s="30"/>
      <c r="D36" s="31"/>
      <c r="E36" s="31"/>
    </row>
    <row r="37" spans="2:5" ht="12" customHeight="1" x14ac:dyDescent="0.2">
      <c r="B37" s="30"/>
      <c r="C37" s="30"/>
      <c r="D37" s="31"/>
      <c r="E37" s="31"/>
    </row>
    <row r="38" spans="2:5" ht="12" customHeight="1" x14ac:dyDescent="0.2">
      <c r="B38" s="30"/>
      <c r="C38" s="30"/>
    </row>
    <row r="39" spans="2:5" ht="12" customHeight="1" x14ac:dyDescent="0.2">
      <c r="B39" s="30"/>
      <c r="C39" s="30"/>
    </row>
    <row r="40" spans="2:5" ht="12" customHeight="1" x14ac:dyDescent="0.2">
      <c r="B40" s="30"/>
      <c r="C40" s="30"/>
    </row>
    <row r="41" spans="2:5" ht="12" customHeight="1" x14ac:dyDescent="0.2">
      <c r="B41" s="30"/>
      <c r="C41" s="30"/>
    </row>
    <row r="42" spans="2:5" ht="12" customHeight="1" x14ac:dyDescent="0.2">
      <c r="B42" s="30"/>
      <c r="C42" s="30"/>
    </row>
    <row r="43" spans="2:5" ht="12" customHeight="1" x14ac:dyDescent="0.2">
      <c r="B43" s="30"/>
      <c r="C43" s="30"/>
    </row>
    <row r="44" spans="2:5" ht="12" customHeight="1" x14ac:dyDescent="0.2">
      <c r="B44" s="30"/>
      <c r="C44" s="30"/>
    </row>
    <row r="45" spans="2:5" ht="12" customHeight="1" x14ac:dyDescent="0.2">
      <c r="B45" s="30"/>
      <c r="C45" s="30"/>
    </row>
    <row r="46" spans="2:5" ht="12" customHeight="1" x14ac:dyDescent="0.2">
      <c r="B46" s="30"/>
      <c r="C46" s="30"/>
    </row>
    <row r="47" spans="2:5" ht="12" customHeight="1" x14ac:dyDescent="0.2">
      <c r="B47" s="30"/>
      <c r="C47" s="30"/>
    </row>
    <row r="48" spans="2:5" ht="12" customHeight="1" x14ac:dyDescent="0.2">
      <c r="B48" s="30"/>
      <c r="C48" s="30"/>
    </row>
    <row r="49" spans="2:5" ht="12" customHeight="1" x14ac:dyDescent="0.2">
      <c r="B49" s="30"/>
      <c r="C49" s="30"/>
    </row>
    <row r="50" spans="2:5" ht="12" customHeight="1" x14ac:dyDescent="0.2">
      <c r="B50" s="30"/>
      <c r="C50" s="30"/>
    </row>
    <row r="51" spans="2:5" ht="30" customHeight="1" x14ac:dyDescent="0.2">
      <c r="B51" s="30"/>
      <c r="C51" s="30"/>
      <c r="D51" s="380" t="s">
        <v>574</v>
      </c>
      <c r="E51" s="380"/>
    </row>
    <row r="52" spans="2:5" ht="13.5" customHeight="1" x14ac:dyDescent="0.2">
      <c r="B52" s="30"/>
      <c r="C52" s="30"/>
    </row>
    <row r="53" spans="2:5" ht="75" customHeight="1" x14ac:dyDescent="0.2">
      <c r="B53" s="30"/>
      <c r="C53" s="30"/>
      <c r="D53" s="380" t="s">
        <v>681</v>
      </c>
      <c r="E53" s="380"/>
    </row>
    <row r="54" spans="2:5" ht="12.75" customHeight="1" x14ac:dyDescent="0.2">
      <c r="B54" s="30"/>
      <c r="C54" s="30"/>
    </row>
    <row r="55" spans="2:5" ht="60" customHeight="1" x14ac:dyDescent="0.2">
      <c r="B55" s="30"/>
      <c r="C55" s="30"/>
      <c r="D55" s="380" t="s">
        <v>680</v>
      </c>
      <c r="E55" s="380"/>
    </row>
    <row r="56" spans="2:5" ht="13.5" customHeight="1" x14ac:dyDescent="0.2">
      <c r="B56" s="30"/>
      <c r="C56" s="30"/>
    </row>
    <row r="57" spans="2:5" ht="60" customHeight="1" x14ac:dyDescent="0.2">
      <c r="D57" s="380" t="s">
        <v>685</v>
      </c>
      <c r="E57" s="380"/>
    </row>
  </sheetData>
  <sheetProtection password="EFB4" sheet="1" objects="1" scenarios="1" selectLockedCells="1" selectUnlockedCells="1"/>
  <mergeCells count="9">
    <mergeCell ref="D55:E55"/>
    <mergeCell ref="D57:E57"/>
    <mergeCell ref="D7:E7"/>
    <mergeCell ref="D9:E9"/>
    <mergeCell ref="D13:E13"/>
    <mergeCell ref="D17:E17"/>
    <mergeCell ref="D21:E21"/>
    <mergeCell ref="D51:E51"/>
    <mergeCell ref="D53:E53"/>
  </mergeCells>
  <phoneticPr fontId="0" type="noConversion"/>
  <pageMargins left="0.7" right="0.5" top="0.75" bottom="0.75" header="0.3" footer="0.3"/>
  <pageSetup scale="67" fitToHeight="0" orientation="portrait" horizontalDpi="1200" verticalDpi="1200" r:id="rId1"/>
  <headerFooter>
    <oddFooter>&amp;LCopyright Fluid Sealing Association 2014. 
All rights reserved.</oddFooter>
  </headerFooter>
  <rowBreaks count="1" manualBreakCount="1">
    <brk id="21"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BC396"/>
  <sheetViews>
    <sheetView showGridLines="0" showRowColHeaders="0" zoomScale="85" zoomScaleNormal="85" zoomScaleSheetLayoutView="85" workbookViewId="0">
      <selection activeCell="K28" sqref="K28:O28"/>
    </sheetView>
  </sheetViews>
  <sheetFormatPr defaultRowHeight="14.25" x14ac:dyDescent="0.2"/>
  <cols>
    <col min="1" max="1" width="7.7109375" style="43" customWidth="1"/>
    <col min="2" max="2" width="10.5703125" style="43" customWidth="1"/>
    <col min="3" max="5" width="9.140625" style="43"/>
    <col min="6" max="6" width="10.140625" style="43" bestFit="1" customWidth="1"/>
    <col min="7" max="8" width="9.140625" style="43"/>
    <col min="9" max="9" width="18.42578125" style="44" customWidth="1"/>
    <col min="10" max="10" width="18.42578125" style="45" customWidth="1"/>
    <col min="11" max="11" width="19.42578125" style="46" customWidth="1"/>
    <col min="12" max="12" width="2.85546875" style="47" customWidth="1"/>
    <col min="13" max="13" width="19.42578125" style="46" customWidth="1"/>
    <col min="14" max="14" width="2.85546875" style="47" customWidth="1"/>
    <col min="15" max="15" width="19.42578125" style="46" customWidth="1"/>
    <col min="16" max="16" width="9.140625" style="65" customWidth="1"/>
    <col min="17" max="17" width="2.85546875" style="43" hidden="1" customWidth="1"/>
    <col min="18" max="18" width="15" style="43" hidden="1" customWidth="1"/>
    <col min="19" max="19" width="2.85546875" style="43" hidden="1" customWidth="1"/>
    <col min="20" max="20" width="21.42578125" style="58" hidden="1" customWidth="1"/>
    <col min="21" max="21" width="19.85546875" style="43" hidden="1" customWidth="1"/>
    <col min="22" max="22" width="2.85546875" style="43" hidden="1" customWidth="1"/>
    <col min="23" max="23" width="17" style="43" hidden="1" customWidth="1"/>
    <col min="24" max="24" width="19.28515625" style="43" hidden="1" customWidth="1"/>
    <col min="25" max="26" width="2.85546875" style="43" hidden="1" customWidth="1"/>
    <col min="27" max="27" width="15" style="43" hidden="1" customWidth="1"/>
    <col min="28" max="28" width="2.85546875" style="43" hidden="1" customWidth="1"/>
    <col min="29" max="29" width="17.28515625" style="43" hidden="1" customWidth="1"/>
    <col min="30" max="30" width="20.7109375" style="43" hidden="1" customWidth="1"/>
    <col min="31" max="31" width="2.85546875" style="43" hidden="1" customWidth="1"/>
    <col min="32" max="32" width="17.28515625" style="43" hidden="1" customWidth="1"/>
    <col min="33" max="33" width="19.28515625" style="43" hidden="1" customWidth="1"/>
    <col min="34" max="35" width="2.85546875" style="43" hidden="1" customWidth="1"/>
    <col min="36" max="36" width="15" style="43" hidden="1" customWidth="1"/>
    <col min="37" max="37" width="2.85546875" style="43" hidden="1" customWidth="1"/>
    <col min="38" max="38" width="17.28515625" style="43" hidden="1" customWidth="1"/>
    <col min="39" max="39" width="19.28515625" style="43" hidden="1" customWidth="1"/>
    <col min="40" max="40" width="2.85546875" style="43" hidden="1" customWidth="1"/>
    <col min="41" max="41" width="17.28515625" style="43" hidden="1" customWidth="1"/>
    <col min="42" max="42" width="19.28515625" style="43" hidden="1" customWidth="1"/>
    <col min="43" max="44" width="2.85546875" style="43" hidden="1" customWidth="1"/>
    <col min="45" max="45" width="253.85546875" style="43" hidden="1" customWidth="1"/>
    <col min="46" max="16384" width="9.140625" style="43"/>
  </cols>
  <sheetData>
    <row r="1" spans="1:55" x14ac:dyDescent="0.2">
      <c r="Q1" s="1" t="s">
        <v>576</v>
      </c>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55" ht="75" customHeight="1" x14ac:dyDescent="0.2">
      <c r="Q2" s="296"/>
      <c r="R2" s="50"/>
      <c r="S2" s="50"/>
      <c r="T2" s="51"/>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row>
    <row r="3" spans="1:55" ht="30" x14ac:dyDescent="0.2">
      <c r="A3" s="52" t="s">
        <v>80</v>
      </c>
      <c r="Q3" s="296"/>
      <c r="T3" s="53" t="s">
        <v>191</v>
      </c>
      <c r="W3" s="53" t="s">
        <v>760</v>
      </c>
    </row>
    <row r="4" spans="1:55" x14ac:dyDescent="0.2">
      <c r="A4" s="46"/>
      <c r="B4" s="46"/>
      <c r="C4" s="46"/>
      <c r="D4" s="46"/>
      <c r="E4" s="46"/>
      <c r="F4" s="46"/>
      <c r="G4" s="46"/>
      <c r="H4" s="46"/>
      <c r="I4" s="46"/>
      <c r="J4" s="46"/>
      <c r="L4" s="46"/>
      <c r="N4" s="46"/>
      <c r="P4" s="104"/>
      <c r="Q4" s="296"/>
      <c r="T4" s="140" t="s">
        <v>190</v>
      </c>
      <c r="W4" s="339" t="str">
        <f>ASSUMPTIONS!B101</f>
        <v>Water</v>
      </c>
    </row>
    <row r="5" spans="1:55" ht="18" x14ac:dyDescent="0.2">
      <c r="A5" s="55" t="s">
        <v>81</v>
      </c>
      <c r="Q5" s="296"/>
      <c r="T5" s="140" t="s">
        <v>157</v>
      </c>
      <c r="W5" s="339" t="str">
        <f>ASSUMPTIONS!B102</f>
        <v>50% Glycol/Water</v>
      </c>
      <c r="AC5" s="53" t="s">
        <v>175</v>
      </c>
    </row>
    <row r="6" spans="1:55" x14ac:dyDescent="0.2">
      <c r="B6" s="56" t="s">
        <v>82</v>
      </c>
      <c r="D6" s="56" t="s">
        <v>83</v>
      </c>
      <c r="Q6" s="296"/>
      <c r="T6" s="53" t="s">
        <v>84</v>
      </c>
      <c r="W6" s="339" t="str">
        <f>ASSUMPTIONS!B103</f>
        <v>Kerosene</v>
      </c>
      <c r="AC6" s="163">
        <v>1</v>
      </c>
      <c r="AD6" s="164">
        <f>ASSUMPTIONS!C114</f>
        <v>0.75149999999999995</v>
      </c>
      <c r="AE6" s="57" t="s">
        <v>246</v>
      </c>
      <c r="AL6" s="90">
        <v>25</v>
      </c>
      <c r="AM6" s="91" t="s">
        <v>134</v>
      </c>
      <c r="AO6" s="139" t="s">
        <v>643</v>
      </c>
    </row>
    <row r="7" spans="1:55" x14ac:dyDescent="0.2">
      <c r="B7" s="56" t="s">
        <v>85</v>
      </c>
      <c r="D7" s="56" t="s">
        <v>86</v>
      </c>
      <c r="Q7" s="296"/>
      <c r="T7" s="140" t="s">
        <v>87</v>
      </c>
      <c r="W7" s="339" t="str">
        <f>ASSUMPTIONS!B104</f>
        <v>Mineral Oil</v>
      </c>
      <c r="AC7" s="165" t="s">
        <v>194</v>
      </c>
      <c r="AD7" s="166">
        <f>ASSUMPTIONS!O77</f>
        <v>1.5748031496062991</v>
      </c>
      <c r="AE7" s="57" t="str">
        <f>CONCATENATE("8 drops per minute per inch of shaft diameter (",ASSUMPTIONS!K33," drops = 1ml)")</f>
        <v>8 drops per minute per inch of shaft diameter (12 drops = 1ml)</v>
      </c>
      <c r="AL7" s="94">
        <v>7.9299999999999998E-4</v>
      </c>
      <c r="AM7" s="95" t="s">
        <v>259</v>
      </c>
      <c r="AO7" s="139" t="s">
        <v>642</v>
      </c>
    </row>
    <row r="8" spans="1:55" x14ac:dyDescent="0.2">
      <c r="B8" s="56" t="s">
        <v>88</v>
      </c>
      <c r="D8" s="56" t="s">
        <v>89</v>
      </c>
      <c r="Q8" s="296"/>
      <c r="T8" s="140" t="s">
        <v>90</v>
      </c>
      <c r="W8" s="339" t="str">
        <f>ASSUMPTIONS!B105</f>
        <v>Dowtherm A</v>
      </c>
      <c r="AC8" s="165" t="s">
        <v>195</v>
      </c>
      <c r="AD8" s="167">
        <f>ASSUMPTIONS!O31</f>
        <v>5</v>
      </c>
      <c r="AE8" s="57" t="str">
        <f>CONCATENATE("1 drop per minute (",ASSUMPTIONS!K33," drops = 1ml)")</f>
        <v>1 drop per minute (12 drops = 1ml)</v>
      </c>
      <c r="AL8" s="161">
        <v>1</v>
      </c>
      <c r="AM8" s="162">
        <v>2.2046199999999998</v>
      </c>
      <c r="AO8" s="139" t="s">
        <v>641</v>
      </c>
    </row>
    <row r="9" spans="1:55" x14ac:dyDescent="0.2">
      <c r="B9" s="56" t="s">
        <v>91</v>
      </c>
      <c r="D9" s="56" t="s">
        <v>92</v>
      </c>
      <c r="Q9" s="296"/>
      <c r="W9" s="339" t="str">
        <f>ASSUMPTIONS!B106</f>
        <v>Custom</v>
      </c>
      <c r="AC9" s="165" t="s">
        <v>255</v>
      </c>
      <c r="AD9" s="269">
        <f>ASSUMPTIONS!K67</f>
        <v>0.17</v>
      </c>
    </row>
    <row r="10" spans="1:55" x14ac:dyDescent="0.2">
      <c r="B10" s="56" t="s">
        <v>93</v>
      </c>
      <c r="D10" s="56" t="s">
        <v>94</v>
      </c>
      <c r="Q10" s="296"/>
      <c r="T10" s="53" t="s">
        <v>95</v>
      </c>
      <c r="W10" s="339" t="str">
        <f>ASSUMPTIONS!B107</f>
        <v>Lt. Hyd. Oil</v>
      </c>
      <c r="AC10" s="385" t="s">
        <v>474</v>
      </c>
      <c r="AD10" s="386"/>
    </row>
    <row r="11" spans="1:55" x14ac:dyDescent="0.2">
      <c r="B11" s="56" t="s">
        <v>96</v>
      </c>
      <c r="D11" s="56" t="s">
        <v>97</v>
      </c>
      <c r="Q11" s="296"/>
      <c r="R11" s="59"/>
      <c r="S11" s="59"/>
      <c r="T11" s="141">
        <v>1</v>
      </c>
      <c r="U11" s="142">
        <v>25.4</v>
      </c>
      <c r="W11" s="339" t="str">
        <f>ASSUMPTIONS!B108</f>
        <v>ISO Grade 32 Oil</v>
      </c>
      <c r="Z11" s="59"/>
      <c r="AA11" s="59"/>
      <c r="AB11" s="59"/>
      <c r="AC11" s="387" t="s">
        <v>282</v>
      </c>
      <c r="AD11" s="168">
        <f>'POWER CALCULATIONS'!E52</f>
        <v>0.14818813652340324</v>
      </c>
      <c r="AE11" s="59"/>
      <c r="AM11" s="59"/>
      <c r="AN11" s="59"/>
      <c r="AO11" s="59"/>
      <c r="AP11" s="59"/>
      <c r="AQ11" s="59"/>
      <c r="AR11" s="59"/>
    </row>
    <row r="12" spans="1:55" ht="14.25" customHeight="1" x14ac:dyDescent="0.2">
      <c r="B12" s="56" t="s">
        <v>98</v>
      </c>
      <c r="D12" s="56" t="s">
        <v>769</v>
      </c>
      <c r="Q12" s="296"/>
      <c r="R12" s="60"/>
      <c r="S12" s="60"/>
      <c r="T12" s="143">
        <v>1000</v>
      </c>
      <c r="U12" s="144">
        <v>3.7854100000000002</v>
      </c>
      <c r="W12" s="339" t="str">
        <f>ASSUMPTIONS!B109</f>
        <v>Crude Oil</v>
      </c>
      <c r="Z12" s="60"/>
      <c r="AA12" s="60"/>
      <c r="AB12" s="60"/>
      <c r="AC12" s="388"/>
      <c r="AD12" s="169">
        <f>'POWER CALCULATIONS'!H52</f>
        <v>0.19872392384295692</v>
      </c>
      <c r="AE12" s="60"/>
      <c r="AM12" s="60"/>
      <c r="AN12" s="60"/>
      <c r="AO12" s="60"/>
      <c r="AP12" s="60"/>
      <c r="AQ12" s="60"/>
      <c r="AR12" s="60"/>
    </row>
    <row r="13" spans="1:55" x14ac:dyDescent="0.2">
      <c r="B13" s="56" t="s">
        <v>99</v>
      </c>
      <c r="D13" s="56" t="s">
        <v>100</v>
      </c>
      <c r="Q13" s="296"/>
      <c r="R13" s="61"/>
      <c r="S13" s="61"/>
      <c r="T13" s="143">
        <v>1</v>
      </c>
      <c r="U13" s="145">
        <f>U12</f>
        <v>3.7854100000000002</v>
      </c>
      <c r="AA13" s="61"/>
      <c r="AB13" s="61"/>
      <c r="AC13" s="387" t="s">
        <v>472</v>
      </c>
      <c r="AD13" s="168">
        <f>'POWER CALCULATIONS'!K52</f>
        <v>0.14818813652340324</v>
      </c>
      <c r="AE13" s="61"/>
      <c r="AM13" s="61"/>
      <c r="AN13" s="61"/>
      <c r="AO13" s="61"/>
      <c r="AP13" s="61"/>
      <c r="AQ13" s="61"/>
      <c r="AR13" s="61"/>
    </row>
    <row r="14" spans="1:55" x14ac:dyDescent="0.2">
      <c r="B14" s="56" t="s">
        <v>101</v>
      </c>
      <c r="D14" s="56" t="s">
        <v>102</v>
      </c>
      <c r="Q14" s="296"/>
      <c r="T14" s="146">
        <v>1</v>
      </c>
      <c r="U14" s="147">
        <v>35.314700000000002</v>
      </c>
      <c r="AC14" s="388"/>
      <c r="AD14" s="169">
        <f>'POWER CALCULATIONS'!N52</f>
        <v>0.19872392384295692</v>
      </c>
    </row>
    <row r="15" spans="1:55" x14ac:dyDescent="0.2">
      <c r="B15" s="56" t="s">
        <v>103</v>
      </c>
      <c r="D15" s="56" t="s">
        <v>104</v>
      </c>
      <c r="Q15" s="296"/>
      <c r="T15" s="148">
        <v>1</v>
      </c>
      <c r="U15" s="149">
        <v>227.125</v>
      </c>
      <c r="AC15" s="387" t="s">
        <v>473</v>
      </c>
      <c r="AD15" s="168">
        <f>'POWER CALCULATIONS'!Q52</f>
        <v>1.4816272703497331</v>
      </c>
    </row>
    <row r="16" spans="1:55" x14ac:dyDescent="0.2">
      <c r="B16" s="56" t="s">
        <v>105</v>
      </c>
      <c r="D16" s="56" t="s">
        <v>106</v>
      </c>
      <c r="Q16" s="296"/>
      <c r="T16" s="150">
        <v>1</v>
      </c>
      <c r="U16" s="151">
        <v>14.5038</v>
      </c>
      <c r="AC16" s="388"/>
      <c r="AD16" s="169">
        <f>'POWER CALCULATIONS'!T52</f>
        <v>1.9868984909607021</v>
      </c>
    </row>
    <row r="17" spans="1:45" x14ac:dyDescent="0.2">
      <c r="B17" s="56" t="s">
        <v>107</v>
      </c>
      <c r="D17" s="56" t="s">
        <v>108</v>
      </c>
      <c r="Q17" s="296"/>
      <c r="T17" s="152">
        <v>1</v>
      </c>
      <c r="U17" s="145">
        <v>28.316800000000001</v>
      </c>
      <c r="AC17" s="165" t="s">
        <v>343</v>
      </c>
      <c r="AD17" s="170">
        <f>ASSUMPTIONS!K19</f>
        <v>2.1999999999999999E-2</v>
      </c>
    </row>
    <row r="18" spans="1:45" x14ac:dyDescent="0.2">
      <c r="B18" s="56" t="s">
        <v>109</v>
      </c>
      <c r="D18" s="56" t="s">
        <v>110</v>
      </c>
      <c r="Q18" s="296"/>
      <c r="T18" s="153">
        <v>1</v>
      </c>
      <c r="U18" s="154">
        <v>3412.14</v>
      </c>
      <c r="AC18" s="389" t="s">
        <v>379</v>
      </c>
      <c r="AD18" s="171">
        <f>ASSUMPTIONS!O21/1000</f>
        <v>2.5000000000000001E-4</v>
      </c>
    </row>
    <row r="19" spans="1:45" x14ac:dyDescent="0.2">
      <c r="B19" s="56" t="s">
        <v>111</v>
      </c>
      <c r="D19" s="56" t="s">
        <v>112</v>
      </c>
      <c r="Q19" s="296"/>
      <c r="T19" s="155">
        <v>1</v>
      </c>
      <c r="U19" s="156">
        <v>15850.3</v>
      </c>
      <c r="AC19" s="390"/>
      <c r="AD19" s="172">
        <f>ASSUMPTIONS!R21</f>
        <v>12</v>
      </c>
    </row>
    <row r="20" spans="1:45" x14ac:dyDescent="0.2">
      <c r="B20" s="56" t="s">
        <v>113</v>
      </c>
      <c r="D20" s="56" t="s">
        <v>114</v>
      </c>
      <c r="Q20" s="296"/>
      <c r="T20" s="157">
        <v>1</v>
      </c>
      <c r="U20" s="158">
        <v>6.8947599999999998</v>
      </c>
      <c r="AC20" s="389" t="s">
        <v>503</v>
      </c>
      <c r="AD20" s="173">
        <f>IF(UnitsOfMeasure="Metric",ASSUMPTIONS!$B$119,ASSUMPTIONS!$B$119/$U$23)</f>
        <v>0.5544220772740881</v>
      </c>
    </row>
    <row r="21" spans="1:45" x14ac:dyDescent="0.2">
      <c r="B21" s="56" t="s">
        <v>115</v>
      </c>
      <c r="D21" s="56" t="s">
        <v>116</v>
      </c>
      <c r="Q21" s="296"/>
      <c r="T21" s="159">
        <v>1</v>
      </c>
      <c r="U21" s="160">
        <v>0.74570000000000003</v>
      </c>
      <c r="AC21" s="390"/>
      <c r="AD21" s="174">
        <f>IF(UnitsOfMeasure="Metric",ASSUMPTIONS!$B$119*$U$23,ASSUMPTIONS!$B$119)</f>
        <v>1.2222900000000001</v>
      </c>
    </row>
    <row r="22" spans="1:45" x14ac:dyDescent="0.2">
      <c r="B22" s="56" t="s">
        <v>117</v>
      </c>
      <c r="D22" s="56" t="s">
        <v>118</v>
      </c>
      <c r="Q22" s="296"/>
      <c r="T22" s="159">
        <v>1</v>
      </c>
      <c r="U22" s="154">
        <v>2544.4299999999998</v>
      </c>
    </row>
    <row r="23" spans="1:45" x14ac:dyDescent="0.2">
      <c r="B23" s="56" t="s">
        <v>119</v>
      </c>
      <c r="D23" s="56" t="s">
        <v>120</v>
      </c>
      <c r="Q23" s="296"/>
      <c r="T23" s="161">
        <v>1</v>
      </c>
      <c r="U23" s="162">
        <v>2.2046199999999998</v>
      </c>
    </row>
    <row r="24" spans="1:45" hidden="1" x14ac:dyDescent="0.2">
      <c r="A24" s="62" t="s">
        <v>263</v>
      </c>
      <c r="B24" s="56" t="s">
        <v>121</v>
      </c>
      <c r="D24" s="56" t="s">
        <v>122</v>
      </c>
      <c r="Q24" s="296"/>
    </row>
    <row r="25" spans="1:45" hidden="1" x14ac:dyDescent="0.2">
      <c r="A25" s="62" t="s">
        <v>263</v>
      </c>
      <c r="B25" s="56"/>
      <c r="D25" s="56"/>
      <c r="Q25" s="296"/>
    </row>
    <row r="26" spans="1:45" x14ac:dyDescent="0.2">
      <c r="K26" s="340" t="s">
        <v>282</v>
      </c>
      <c r="M26" s="341" t="s">
        <v>283</v>
      </c>
      <c r="O26" s="341" t="s">
        <v>284</v>
      </c>
      <c r="Q26" s="296"/>
      <c r="T26" s="337">
        <v>1</v>
      </c>
      <c r="U26" s="338">
        <v>16.3871</v>
      </c>
    </row>
    <row r="27" spans="1:45" ht="18" x14ac:dyDescent="0.2">
      <c r="A27" s="55" t="s">
        <v>123</v>
      </c>
      <c r="Q27" s="296"/>
    </row>
    <row r="28" spans="1:45" x14ac:dyDescent="0.2">
      <c r="J28" s="63" t="s">
        <v>124</v>
      </c>
      <c r="K28" s="382" t="s">
        <v>90</v>
      </c>
      <c r="L28" s="383"/>
      <c r="M28" s="383"/>
      <c r="N28" s="383"/>
      <c r="O28" s="384"/>
      <c r="Q28" s="296"/>
      <c r="R28" s="175" t="s">
        <v>640</v>
      </c>
      <c r="S28" s="176"/>
      <c r="T28" s="176"/>
      <c r="U28" s="176"/>
      <c r="V28" s="176"/>
      <c r="W28" s="176"/>
      <c r="X28" s="177"/>
      <c r="Y28" s="48"/>
      <c r="Z28" s="49"/>
      <c r="AA28" s="175" t="s">
        <v>126</v>
      </c>
      <c r="AB28" s="176"/>
      <c r="AC28" s="176"/>
      <c r="AD28" s="176"/>
      <c r="AE28" s="176"/>
      <c r="AF28" s="176"/>
      <c r="AG28" s="177"/>
      <c r="AH28" s="48"/>
      <c r="AI28" s="49"/>
      <c r="AJ28" s="175" t="s">
        <v>127</v>
      </c>
      <c r="AK28" s="176"/>
      <c r="AL28" s="176"/>
      <c r="AM28" s="176"/>
      <c r="AN28" s="176"/>
      <c r="AO28" s="176"/>
      <c r="AP28" s="177"/>
      <c r="AQ28" s="48"/>
      <c r="AR28" s="49"/>
    </row>
    <row r="29" spans="1:45" x14ac:dyDescent="0.2">
      <c r="B29" s="50"/>
      <c r="C29" s="50"/>
      <c r="D29" s="50"/>
      <c r="E29" s="50"/>
      <c r="F29" s="50"/>
      <c r="G29" s="50"/>
      <c r="H29" s="50"/>
      <c r="I29" s="96"/>
      <c r="J29" s="97"/>
      <c r="Q29" s="296"/>
      <c r="R29" s="65"/>
      <c r="S29" s="65"/>
      <c r="Y29" s="48"/>
      <c r="Z29" s="49"/>
      <c r="AA29" s="65"/>
      <c r="AB29" s="65"/>
      <c r="AC29" s="58"/>
      <c r="AH29" s="48"/>
      <c r="AI29" s="49"/>
      <c r="AJ29" s="65"/>
      <c r="AK29" s="65"/>
      <c r="AL29" s="58"/>
      <c r="AQ29" s="48"/>
      <c r="AR29" s="49"/>
      <c r="AS29" s="54"/>
    </row>
    <row r="30" spans="1:45" ht="24.75" customHeight="1" thickBot="1" x14ac:dyDescent="0.25">
      <c r="B30" s="251" t="s">
        <v>125</v>
      </c>
      <c r="C30" s="50"/>
      <c r="D30" s="50"/>
      <c r="E30" s="50"/>
      <c r="F30" s="50"/>
      <c r="G30" s="50"/>
      <c r="H30" s="50"/>
      <c r="I30" s="96"/>
      <c r="J30" s="97"/>
      <c r="K30" s="2" t="s">
        <v>96</v>
      </c>
      <c r="M30" s="2" t="s">
        <v>98</v>
      </c>
      <c r="O30" s="2" t="s">
        <v>119</v>
      </c>
      <c r="Q30" s="296"/>
      <c r="R30" s="65"/>
      <c r="S30" s="65"/>
      <c r="T30" s="66" t="str">
        <f>K30</f>
        <v>Sgl/23</v>
      </c>
      <c r="Y30" s="48"/>
      <c r="Z30" s="49"/>
      <c r="AA30" s="65"/>
      <c r="AB30" s="65"/>
      <c r="AC30" s="66" t="str">
        <f>M30</f>
        <v>Sgl/32</v>
      </c>
      <c r="AH30" s="48"/>
      <c r="AI30" s="49"/>
      <c r="AJ30" s="65"/>
      <c r="AK30" s="65"/>
      <c r="AL30" s="66" t="str">
        <f>O30</f>
        <v>Packing</v>
      </c>
      <c r="AQ30" s="48"/>
      <c r="AR30" s="49"/>
      <c r="AS30" s="64" t="s">
        <v>182</v>
      </c>
    </row>
    <row r="31" spans="1:45" ht="15" thickTop="1" x14ac:dyDescent="0.2">
      <c r="B31" s="50"/>
      <c r="C31" s="50"/>
      <c r="D31" s="50"/>
      <c r="E31" s="50"/>
      <c r="F31" s="50"/>
      <c r="G31" s="50"/>
      <c r="H31" s="50"/>
      <c r="I31" s="96"/>
      <c r="J31" s="97"/>
      <c r="Q31" s="297"/>
      <c r="R31" s="65"/>
      <c r="S31" s="65"/>
      <c r="Y31" s="48"/>
      <c r="Z31" s="49"/>
      <c r="AA31" s="65"/>
      <c r="AB31" s="65"/>
      <c r="AC31" s="58"/>
      <c r="AH31" s="48"/>
      <c r="AI31" s="67"/>
      <c r="AJ31" s="65"/>
      <c r="AK31" s="65"/>
      <c r="AL31" s="58"/>
      <c r="AQ31" s="48"/>
      <c r="AR31" s="49"/>
      <c r="AS31" s="65"/>
    </row>
    <row r="32" spans="1:45" ht="15" thickBot="1" x14ac:dyDescent="0.25">
      <c r="B32" s="252"/>
      <c r="C32" s="252"/>
      <c r="D32" s="252"/>
      <c r="E32" s="252"/>
      <c r="F32" s="252"/>
      <c r="G32" s="252"/>
      <c r="H32" s="252"/>
      <c r="I32" s="253"/>
      <c r="J32" s="254"/>
      <c r="K32" s="71"/>
      <c r="L32" s="72"/>
      <c r="M32" s="71"/>
      <c r="N32" s="72"/>
      <c r="O32" s="71"/>
      <c r="Q32" s="297"/>
      <c r="R32" s="65"/>
      <c r="S32" s="65"/>
      <c r="Y32" s="48"/>
      <c r="Z32" s="67"/>
      <c r="AA32" s="65"/>
      <c r="AB32" s="65"/>
      <c r="AC32" s="58"/>
      <c r="AH32" s="48"/>
      <c r="AI32" s="67"/>
      <c r="AJ32" s="65"/>
      <c r="AK32" s="65"/>
      <c r="AL32" s="58"/>
      <c r="AQ32" s="48"/>
      <c r="AR32" s="49"/>
      <c r="AS32" s="65"/>
    </row>
    <row r="33" spans="2:45" ht="24.75" customHeight="1" x14ac:dyDescent="0.2">
      <c r="B33" s="255" t="s">
        <v>128</v>
      </c>
      <c r="C33" s="256"/>
      <c r="D33" s="256"/>
      <c r="E33" s="256"/>
      <c r="F33" s="256"/>
      <c r="G33" s="256"/>
      <c r="H33" s="256"/>
      <c r="I33" s="257" t="s">
        <v>129</v>
      </c>
      <c r="J33" s="258" t="s">
        <v>130</v>
      </c>
      <c r="K33" s="77"/>
      <c r="L33" s="78"/>
      <c r="M33" s="77"/>
      <c r="N33" s="79"/>
      <c r="O33" s="77"/>
      <c r="Q33" s="297"/>
      <c r="R33" s="65"/>
      <c r="S33" s="65"/>
      <c r="T33" s="178" t="s">
        <v>192</v>
      </c>
      <c r="U33" s="177"/>
      <c r="V33" s="50"/>
      <c r="W33" s="178" t="s">
        <v>193</v>
      </c>
      <c r="X33" s="177"/>
      <c r="Y33" s="48"/>
      <c r="Z33" s="67"/>
      <c r="AA33" s="65"/>
      <c r="AB33" s="65"/>
      <c r="AC33" s="178" t="s">
        <v>192</v>
      </c>
      <c r="AD33" s="177"/>
      <c r="AE33" s="50"/>
      <c r="AF33" s="178" t="s">
        <v>193</v>
      </c>
      <c r="AG33" s="177"/>
      <c r="AH33" s="48"/>
      <c r="AI33" s="67"/>
      <c r="AJ33" s="65"/>
      <c r="AK33" s="65"/>
      <c r="AL33" s="178" t="s">
        <v>192</v>
      </c>
      <c r="AM33" s="177"/>
      <c r="AN33" s="50"/>
      <c r="AO33" s="178" t="s">
        <v>193</v>
      </c>
      <c r="AP33" s="177"/>
      <c r="AQ33" s="48"/>
      <c r="AR33" s="49"/>
      <c r="AS33" s="80"/>
    </row>
    <row r="34" spans="2:45" ht="3.75" customHeight="1" x14ac:dyDescent="0.2">
      <c r="B34" s="251"/>
      <c r="C34" s="50"/>
      <c r="D34" s="50"/>
      <c r="E34" s="50"/>
      <c r="F34" s="50"/>
      <c r="G34" s="50"/>
      <c r="H34" s="50"/>
      <c r="I34" s="259"/>
      <c r="J34" s="260"/>
      <c r="Q34" s="297"/>
      <c r="R34" s="65"/>
      <c r="S34" s="65"/>
      <c r="T34" s="51"/>
      <c r="U34" s="50"/>
      <c r="V34" s="50"/>
      <c r="Y34" s="48"/>
      <c r="Z34" s="67"/>
      <c r="AA34" s="65"/>
      <c r="AB34" s="65"/>
      <c r="AC34" s="51"/>
      <c r="AD34" s="50"/>
      <c r="AE34" s="50"/>
      <c r="AH34" s="48"/>
      <c r="AI34" s="67"/>
      <c r="AJ34" s="65"/>
      <c r="AK34" s="65"/>
      <c r="AL34" s="51"/>
      <c r="AM34" s="50"/>
      <c r="AN34" s="50"/>
      <c r="AQ34" s="48"/>
      <c r="AR34" s="49"/>
      <c r="AS34" s="81"/>
    </row>
    <row r="35" spans="2:45" x14ac:dyDescent="0.2">
      <c r="B35" s="50"/>
      <c r="C35" s="50" t="s">
        <v>131</v>
      </c>
      <c r="D35" s="50"/>
      <c r="E35" s="50"/>
      <c r="F35" s="50"/>
      <c r="G35" s="50"/>
      <c r="H35" s="50"/>
      <c r="I35" s="261">
        <v>0.12</v>
      </c>
      <c r="J35" s="97"/>
      <c r="K35" s="122">
        <f>I35</f>
        <v>0.12</v>
      </c>
      <c r="L35" s="82" t="s">
        <v>132</v>
      </c>
      <c r="M35" s="345">
        <f>K35</f>
        <v>0.12</v>
      </c>
      <c r="N35" s="82" t="s">
        <v>132</v>
      </c>
      <c r="O35" s="345">
        <f>K35</f>
        <v>0.12</v>
      </c>
      <c r="P35" s="85"/>
      <c r="Q35" s="297"/>
      <c r="R35" s="84" t="s">
        <v>272</v>
      </c>
      <c r="S35" s="85"/>
      <c r="T35" s="86">
        <f>K35</f>
        <v>0.12</v>
      </c>
      <c r="U35" s="50"/>
      <c r="V35" s="50"/>
      <c r="W35" s="86">
        <f>K35</f>
        <v>0.12</v>
      </c>
      <c r="X35" s="50"/>
      <c r="Y35" s="83"/>
      <c r="Z35" s="67"/>
      <c r="AA35" s="84" t="s">
        <v>272</v>
      </c>
      <c r="AB35" s="85"/>
      <c r="AC35" s="86">
        <f>M35</f>
        <v>0.12</v>
      </c>
      <c r="AD35" s="50"/>
      <c r="AE35" s="50"/>
      <c r="AF35" s="86">
        <f>M35</f>
        <v>0.12</v>
      </c>
      <c r="AG35" s="50"/>
      <c r="AH35" s="83"/>
      <c r="AI35" s="67"/>
      <c r="AJ35" s="84" t="s">
        <v>272</v>
      </c>
      <c r="AK35" s="85"/>
      <c r="AL35" s="86">
        <f>O35</f>
        <v>0.12</v>
      </c>
      <c r="AM35" s="50"/>
      <c r="AN35" s="50"/>
      <c r="AO35" s="86">
        <f>O35</f>
        <v>0.12</v>
      </c>
      <c r="AP35" s="50"/>
      <c r="AQ35" s="83"/>
      <c r="AR35" s="67"/>
      <c r="AS35" s="80" t="s">
        <v>273</v>
      </c>
    </row>
    <row r="36" spans="2:45" ht="3.75" customHeight="1" x14ac:dyDescent="0.2">
      <c r="B36" s="50"/>
      <c r="C36" s="50"/>
      <c r="D36" s="50"/>
      <c r="E36" s="50"/>
      <c r="F36" s="50"/>
      <c r="G36" s="50"/>
      <c r="H36" s="50"/>
      <c r="I36" s="96"/>
      <c r="J36" s="97"/>
      <c r="Q36" s="297"/>
      <c r="R36" s="65"/>
      <c r="S36" s="65"/>
      <c r="T36" s="51"/>
      <c r="U36" s="50"/>
      <c r="V36" s="50"/>
      <c r="Y36" s="48"/>
      <c r="Z36" s="67"/>
      <c r="AA36" s="65"/>
      <c r="AB36" s="65"/>
      <c r="AC36" s="51"/>
      <c r="AD36" s="50"/>
      <c r="AE36" s="50"/>
      <c r="AH36" s="48"/>
      <c r="AI36" s="67"/>
      <c r="AJ36" s="65"/>
      <c r="AK36" s="65"/>
      <c r="AL36" s="51"/>
      <c r="AM36" s="50"/>
      <c r="AN36" s="50"/>
      <c r="AQ36" s="48"/>
      <c r="AR36" s="49"/>
      <c r="AS36" s="81"/>
    </row>
    <row r="37" spans="2:45" x14ac:dyDescent="0.2">
      <c r="B37" s="50"/>
      <c r="C37" s="50" t="s">
        <v>133</v>
      </c>
      <c r="D37" s="50"/>
      <c r="E37" s="50"/>
      <c r="F37" s="50"/>
      <c r="G37" s="50"/>
      <c r="H37" s="50"/>
      <c r="I37" s="179">
        <f>IF(UnitsOfMeasure="Metric",ROUND(50*ExchangeRate/5,0)*5,50)</f>
        <v>50</v>
      </c>
      <c r="J37" s="97" t="str">
        <f>IF(UnitsOfMeasure="Metric","€ / Hour","$ / Hour")</f>
        <v>$ / Hour</v>
      </c>
      <c r="K37" s="123">
        <f>I37</f>
        <v>50</v>
      </c>
      <c r="L37" s="82" t="s">
        <v>132</v>
      </c>
      <c r="M37" s="344">
        <f>K37</f>
        <v>50</v>
      </c>
      <c r="N37" s="82" t="s">
        <v>132</v>
      </c>
      <c r="O37" s="344">
        <f>K37</f>
        <v>50</v>
      </c>
      <c r="P37" s="89"/>
      <c r="Q37" s="298"/>
      <c r="R37" s="84" t="s">
        <v>272</v>
      </c>
      <c r="S37" s="89"/>
      <c r="T37" s="90">
        <f>IF(UnitsOfMeasure="Metric",K37,K37*ExchangeRate)</f>
        <v>37.574999999999996</v>
      </c>
      <c r="U37" s="91" t="s">
        <v>134</v>
      </c>
      <c r="V37" s="50"/>
      <c r="W37" s="90">
        <f>IF(UnitsOfMeasure="Imperial",K37,K37/ExchangeRate)</f>
        <v>50</v>
      </c>
      <c r="X37" s="91" t="s">
        <v>135</v>
      </c>
      <c r="Y37" s="87"/>
      <c r="Z37" s="67"/>
      <c r="AA37" s="84" t="s">
        <v>272</v>
      </c>
      <c r="AB37" s="89"/>
      <c r="AC37" s="90">
        <f>IF(UnitsOfMeasure="Metric",M37,M37*ExchangeRate)</f>
        <v>37.574999999999996</v>
      </c>
      <c r="AD37" s="91" t="s">
        <v>134</v>
      </c>
      <c r="AE37" s="50"/>
      <c r="AF37" s="90">
        <f>IF(UnitsOfMeasure="Imperial",M37,M37/ExchangeRate)</f>
        <v>50</v>
      </c>
      <c r="AG37" s="91" t="s">
        <v>135</v>
      </c>
      <c r="AH37" s="87"/>
      <c r="AI37" s="88"/>
      <c r="AJ37" s="84" t="s">
        <v>272</v>
      </c>
      <c r="AK37" s="89"/>
      <c r="AL37" s="90">
        <f>IF(UnitsOfMeasure="Metric",O37,O37*ExchangeRate)</f>
        <v>37.574999999999996</v>
      </c>
      <c r="AM37" s="91" t="s">
        <v>134</v>
      </c>
      <c r="AN37" s="50"/>
      <c r="AO37" s="90">
        <f>IF(UnitsOfMeasure="Imperial",O37,O37/ExchangeRate)</f>
        <v>50</v>
      </c>
      <c r="AP37" s="91" t="s">
        <v>135</v>
      </c>
      <c r="AQ37" s="87"/>
      <c r="AR37" s="92"/>
      <c r="AS37" s="80" t="s">
        <v>273</v>
      </c>
    </row>
    <row r="38" spans="2:45" ht="15" thickBot="1" x14ac:dyDescent="0.25">
      <c r="B38" s="252"/>
      <c r="C38" s="252"/>
      <c r="D38" s="252"/>
      <c r="E38" s="252"/>
      <c r="F38" s="252"/>
      <c r="G38" s="252"/>
      <c r="H38" s="252"/>
      <c r="I38" s="253"/>
      <c r="J38" s="254"/>
      <c r="K38" s="71"/>
      <c r="L38" s="72"/>
      <c r="M38" s="71"/>
      <c r="N38" s="72"/>
      <c r="O38" s="71"/>
      <c r="Q38" s="297"/>
      <c r="R38" s="65"/>
      <c r="S38" s="65"/>
      <c r="T38" s="51"/>
      <c r="U38" s="50"/>
      <c r="V38" s="50"/>
      <c r="Y38" s="48"/>
      <c r="Z38" s="88"/>
      <c r="AA38" s="65"/>
      <c r="AB38" s="65"/>
      <c r="AC38" s="51"/>
      <c r="AD38" s="50"/>
      <c r="AE38" s="50"/>
      <c r="AH38" s="48"/>
      <c r="AI38" s="67"/>
      <c r="AJ38" s="65"/>
      <c r="AK38" s="65"/>
      <c r="AL38" s="51"/>
      <c r="AM38" s="50"/>
      <c r="AN38" s="50"/>
      <c r="AQ38" s="48"/>
      <c r="AR38" s="49"/>
      <c r="AS38" s="81"/>
    </row>
    <row r="39" spans="2:45" ht="24.75" customHeight="1" x14ac:dyDescent="0.2">
      <c r="B39" s="255" t="s">
        <v>136</v>
      </c>
      <c r="C39" s="256"/>
      <c r="D39" s="256"/>
      <c r="E39" s="256"/>
      <c r="F39" s="256"/>
      <c r="G39" s="256"/>
      <c r="H39" s="256"/>
      <c r="I39" s="257" t="s">
        <v>129</v>
      </c>
      <c r="J39" s="258" t="s">
        <v>130</v>
      </c>
      <c r="K39" s="77"/>
      <c r="L39" s="78"/>
      <c r="M39" s="77"/>
      <c r="N39" s="79"/>
      <c r="O39" s="77"/>
      <c r="Q39" s="297"/>
      <c r="R39" s="65"/>
      <c r="S39" s="65"/>
      <c r="T39" s="51"/>
      <c r="U39" s="50"/>
      <c r="V39" s="50"/>
      <c r="Y39" s="48"/>
      <c r="Z39" s="67"/>
      <c r="AA39" s="65"/>
      <c r="AB39" s="65"/>
      <c r="AC39" s="51"/>
      <c r="AD39" s="50"/>
      <c r="AE39" s="50"/>
      <c r="AH39" s="48"/>
      <c r="AI39" s="67"/>
      <c r="AJ39" s="65"/>
      <c r="AK39" s="65"/>
      <c r="AL39" s="51"/>
      <c r="AM39" s="50"/>
      <c r="AN39" s="50"/>
      <c r="AQ39" s="48"/>
      <c r="AR39" s="49"/>
      <c r="AS39" s="80"/>
    </row>
    <row r="40" spans="2:45" ht="3.75" customHeight="1" x14ac:dyDescent="0.2">
      <c r="B40" s="50"/>
      <c r="C40" s="50"/>
      <c r="D40" s="50"/>
      <c r="E40" s="50"/>
      <c r="F40" s="50"/>
      <c r="G40" s="50"/>
      <c r="H40" s="50"/>
      <c r="I40" s="96"/>
      <c r="J40" s="97"/>
      <c r="Q40" s="297"/>
      <c r="R40" s="65"/>
      <c r="S40" s="65"/>
      <c r="T40" s="51"/>
      <c r="U40" s="50"/>
      <c r="V40" s="50"/>
      <c r="Y40" s="48"/>
      <c r="Z40" s="67"/>
      <c r="AA40" s="65"/>
      <c r="AB40" s="65"/>
      <c r="AC40" s="51"/>
      <c r="AD40" s="50"/>
      <c r="AE40" s="50"/>
      <c r="AH40" s="48"/>
      <c r="AI40" s="67"/>
      <c r="AJ40" s="65"/>
      <c r="AK40" s="65"/>
      <c r="AL40" s="51"/>
      <c r="AM40" s="50"/>
      <c r="AN40" s="50"/>
      <c r="AQ40" s="48"/>
      <c r="AR40" s="49"/>
      <c r="AS40" s="81"/>
    </row>
    <row r="41" spans="2:45" x14ac:dyDescent="0.2">
      <c r="B41" s="50"/>
      <c r="C41" s="50" t="s">
        <v>137</v>
      </c>
      <c r="D41" s="50"/>
      <c r="E41" s="50"/>
      <c r="F41" s="50"/>
      <c r="G41" s="50"/>
      <c r="H41" s="50"/>
      <c r="I41" s="96"/>
      <c r="J41" s="97" t="s">
        <v>138</v>
      </c>
      <c r="K41" s="123" t="s">
        <v>139</v>
      </c>
      <c r="L41" s="82" t="s">
        <v>132</v>
      </c>
      <c r="M41" s="344" t="str">
        <f>K41</f>
        <v>Pump 1</v>
      </c>
      <c r="N41" s="82" t="s">
        <v>132</v>
      </c>
      <c r="O41" s="344" t="str">
        <f>K41</f>
        <v>Pump 1</v>
      </c>
      <c r="P41" s="89"/>
      <c r="Q41" s="298"/>
      <c r="R41" s="89"/>
      <c r="S41" s="89"/>
      <c r="T41" s="90" t="str">
        <f>K41</f>
        <v>Pump 1</v>
      </c>
      <c r="U41" s="91" t="s">
        <v>140</v>
      </c>
      <c r="V41" s="50"/>
      <c r="W41" s="90" t="str">
        <f>K41</f>
        <v>Pump 1</v>
      </c>
      <c r="X41" s="91" t="str">
        <f>$J41</f>
        <v>(User info only)</v>
      </c>
      <c r="Y41" s="87"/>
      <c r="Z41" s="67"/>
      <c r="AA41" s="89"/>
      <c r="AB41" s="89"/>
      <c r="AC41" s="90" t="str">
        <f>M41</f>
        <v>Pump 1</v>
      </c>
      <c r="AD41" s="91" t="s">
        <v>140</v>
      </c>
      <c r="AE41" s="50"/>
      <c r="AF41" s="90" t="str">
        <f>M41</f>
        <v>Pump 1</v>
      </c>
      <c r="AG41" s="91" t="str">
        <f>$J41</f>
        <v>(User info only)</v>
      </c>
      <c r="AH41" s="87"/>
      <c r="AI41" s="88"/>
      <c r="AJ41" s="89"/>
      <c r="AK41" s="89"/>
      <c r="AL41" s="90" t="str">
        <f>O41</f>
        <v>Pump 1</v>
      </c>
      <c r="AM41" s="91" t="s">
        <v>140</v>
      </c>
      <c r="AN41" s="50"/>
      <c r="AO41" s="90" t="str">
        <f>O41</f>
        <v>Pump 1</v>
      </c>
      <c r="AP41" s="91" t="str">
        <f>$J41</f>
        <v>(User info only)</v>
      </c>
      <c r="AQ41" s="87"/>
      <c r="AR41" s="92"/>
      <c r="AS41" s="80" t="s">
        <v>273</v>
      </c>
    </row>
    <row r="42" spans="2:45" ht="3.75" customHeight="1" x14ac:dyDescent="0.2">
      <c r="B42" s="50"/>
      <c r="C42" s="50"/>
      <c r="D42" s="50"/>
      <c r="E42" s="50"/>
      <c r="F42" s="50"/>
      <c r="G42" s="50"/>
      <c r="H42" s="50"/>
      <c r="I42" s="96"/>
      <c r="J42" s="97"/>
      <c r="Q42" s="297"/>
      <c r="R42" s="65"/>
      <c r="S42" s="65"/>
      <c r="T42" s="51"/>
      <c r="U42" s="50"/>
      <c r="V42" s="50"/>
      <c r="Y42" s="48"/>
      <c r="Z42" s="88"/>
      <c r="AA42" s="65"/>
      <c r="AB42" s="65"/>
      <c r="AC42" s="51"/>
      <c r="AD42" s="50"/>
      <c r="AE42" s="50"/>
      <c r="AH42" s="48"/>
      <c r="AI42" s="67"/>
      <c r="AJ42" s="65"/>
      <c r="AK42" s="65"/>
      <c r="AL42" s="51"/>
      <c r="AM42" s="50"/>
      <c r="AN42" s="50"/>
      <c r="AQ42" s="48"/>
      <c r="AR42" s="49"/>
      <c r="AS42" s="81"/>
    </row>
    <row r="43" spans="2:45" x14ac:dyDescent="0.2">
      <c r="B43" s="50"/>
      <c r="C43" s="50" t="s">
        <v>141</v>
      </c>
      <c r="D43" s="50"/>
      <c r="E43" s="50"/>
      <c r="F43" s="50"/>
      <c r="G43" s="50"/>
      <c r="H43" s="50"/>
      <c r="I43" s="96"/>
      <c r="J43" s="97" t="s">
        <v>138</v>
      </c>
      <c r="K43" s="123" t="s">
        <v>142</v>
      </c>
      <c r="L43" s="82" t="s">
        <v>132</v>
      </c>
      <c r="M43" s="344" t="str">
        <f>K43</f>
        <v>Description 1</v>
      </c>
      <c r="N43" s="82" t="s">
        <v>132</v>
      </c>
      <c r="O43" s="344" t="str">
        <f>K43</f>
        <v>Description 1</v>
      </c>
      <c r="P43" s="89"/>
      <c r="Q43" s="298"/>
      <c r="R43" s="89"/>
      <c r="S43" s="89"/>
      <c r="T43" s="90" t="str">
        <f>K43</f>
        <v>Description 1</v>
      </c>
      <c r="U43" s="91" t="s">
        <v>140</v>
      </c>
      <c r="V43" s="50"/>
      <c r="W43" s="90" t="str">
        <f>K43</f>
        <v>Description 1</v>
      </c>
      <c r="X43" s="91" t="str">
        <f>$J43</f>
        <v>(User info only)</v>
      </c>
      <c r="Y43" s="87"/>
      <c r="Z43" s="67"/>
      <c r="AA43" s="89"/>
      <c r="AB43" s="89"/>
      <c r="AC43" s="90" t="str">
        <f>M43</f>
        <v>Description 1</v>
      </c>
      <c r="AD43" s="91" t="s">
        <v>140</v>
      </c>
      <c r="AE43" s="50"/>
      <c r="AF43" s="90" t="str">
        <f>M43</f>
        <v>Description 1</v>
      </c>
      <c r="AG43" s="91" t="str">
        <f>$J43</f>
        <v>(User info only)</v>
      </c>
      <c r="AH43" s="87"/>
      <c r="AI43" s="88"/>
      <c r="AJ43" s="89"/>
      <c r="AK43" s="89"/>
      <c r="AL43" s="90" t="str">
        <f>O43</f>
        <v>Description 1</v>
      </c>
      <c r="AM43" s="91" t="s">
        <v>140</v>
      </c>
      <c r="AN43" s="50"/>
      <c r="AO43" s="90" t="str">
        <f>O43</f>
        <v>Description 1</v>
      </c>
      <c r="AP43" s="91" t="str">
        <f>$J43</f>
        <v>(User info only)</v>
      </c>
      <c r="AQ43" s="87"/>
      <c r="AR43" s="92"/>
      <c r="AS43" s="80" t="s">
        <v>273</v>
      </c>
    </row>
    <row r="44" spans="2:45" ht="3.75" customHeight="1" x14ac:dyDescent="0.2">
      <c r="B44" s="50"/>
      <c r="C44" s="50"/>
      <c r="D44" s="50"/>
      <c r="E44" s="50"/>
      <c r="F44" s="50"/>
      <c r="G44" s="50"/>
      <c r="H44" s="50"/>
      <c r="I44" s="96"/>
      <c r="J44" s="97"/>
      <c r="Q44" s="297"/>
      <c r="R44" s="65"/>
      <c r="S44" s="65"/>
      <c r="T44" s="51"/>
      <c r="U44" s="50"/>
      <c r="V44" s="50"/>
      <c r="Y44" s="48"/>
      <c r="Z44" s="88"/>
      <c r="AA44" s="65"/>
      <c r="AB44" s="65"/>
      <c r="AC44" s="51"/>
      <c r="AD44" s="50"/>
      <c r="AE44" s="50"/>
      <c r="AH44" s="48"/>
      <c r="AI44" s="67"/>
      <c r="AJ44" s="65"/>
      <c r="AK44" s="65"/>
      <c r="AL44" s="51"/>
      <c r="AM44" s="50"/>
      <c r="AN44" s="50"/>
      <c r="AQ44" s="48"/>
      <c r="AR44" s="49"/>
      <c r="AS44" s="81"/>
    </row>
    <row r="45" spans="2:45" x14ac:dyDescent="0.2">
      <c r="B45" s="50"/>
      <c r="C45" s="50" t="s">
        <v>143</v>
      </c>
      <c r="D45" s="50"/>
      <c r="E45" s="50"/>
      <c r="F45" s="50"/>
      <c r="G45" s="50"/>
      <c r="H45" s="50"/>
      <c r="I45" s="179">
        <f>IF(UnitsOfMeasure="Metric",ROUND(1500*ExchangeRate/10,0)*10,1500)</f>
        <v>1500</v>
      </c>
      <c r="J45" s="97" t="str">
        <f>IF(UnitsOfMeasure="Metric","€ / Failure","$ / Failure")</f>
        <v>$ / Failure</v>
      </c>
      <c r="K45" s="268">
        <f>I45</f>
        <v>1500</v>
      </c>
      <c r="L45" s="82" t="s">
        <v>132</v>
      </c>
      <c r="M45" s="343">
        <f>K45</f>
        <v>1500</v>
      </c>
      <c r="N45" s="82" t="s">
        <v>132</v>
      </c>
      <c r="O45" s="343">
        <f>K45</f>
        <v>1500</v>
      </c>
      <c r="P45" s="89"/>
      <c r="Q45" s="298"/>
      <c r="R45" s="84" t="s">
        <v>272</v>
      </c>
      <c r="S45" s="89"/>
      <c r="T45" s="90">
        <f>IF(UnitsOfMeasure="Metric",K45,K45*ExchangeRate)</f>
        <v>1127.25</v>
      </c>
      <c r="U45" s="91" t="s">
        <v>144</v>
      </c>
      <c r="V45" s="50"/>
      <c r="W45" s="90">
        <f>IF(UnitsOfMeasure="Imperial",K45,K45/ExchangeRate)</f>
        <v>1500</v>
      </c>
      <c r="X45" s="91" t="s">
        <v>145</v>
      </c>
      <c r="Y45" s="87"/>
      <c r="Z45" s="67"/>
      <c r="AA45" s="84" t="s">
        <v>272</v>
      </c>
      <c r="AB45" s="89"/>
      <c r="AC45" s="90">
        <f>IF(UnitsOfMeasure="Metric",M45,M45*ExchangeRate)</f>
        <v>1127.25</v>
      </c>
      <c r="AD45" s="91" t="s">
        <v>144</v>
      </c>
      <c r="AE45" s="50"/>
      <c r="AF45" s="90">
        <f>IF(UnitsOfMeasure="Imperial",M45,M45/ExchangeRate)</f>
        <v>1500</v>
      </c>
      <c r="AG45" s="91" t="s">
        <v>145</v>
      </c>
      <c r="AH45" s="87"/>
      <c r="AI45" s="88"/>
      <c r="AJ45" s="84" t="s">
        <v>272</v>
      </c>
      <c r="AK45" s="89"/>
      <c r="AL45" s="90">
        <f>IF(UnitsOfMeasure="Metric",O45,O45*ExchangeRate)</f>
        <v>1127.25</v>
      </c>
      <c r="AM45" s="91" t="s">
        <v>144</v>
      </c>
      <c r="AN45" s="50"/>
      <c r="AO45" s="90">
        <f>IF(UnitsOfMeasure="Imperial",O45,O45/ExchangeRate)</f>
        <v>1500</v>
      </c>
      <c r="AP45" s="91" t="s">
        <v>145</v>
      </c>
      <c r="AQ45" s="87"/>
      <c r="AR45" s="92"/>
      <c r="AS45" s="80" t="s">
        <v>273</v>
      </c>
    </row>
    <row r="46" spans="2:45" ht="3.75" customHeight="1" x14ac:dyDescent="0.2">
      <c r="B46" s="50"/>
      <c r="C46" s="50"/>
      <c r="D46" s="50"/>
      <c r="E46" s="50"/>
      <c r="F46" s="50"/>
      <c r="G46" s="50"/>
      <c r="H46" s="50"/>
      <c r="I46" s="96"/>
      <c r="J46" s="97"/>
      <c r="Q46" s="297"/>
      <c r="R46" s="65"/>
      <c r="S46" s="65"/>
      <c r="T46" s="51"/>
      <c r="U46" s="50"/>
      <c r="V46" s="50"/>
      <c r="Y46" s="48"/>
      <c r="Z46" s="88"/>
      <c r="AA46" s="65"/>
      <c r="AB46" s="65"/>
      <c r="AC46" s="51"/>
      <c r="AD46" s="50"/>
      <c r="AE46" s="50"/>
      <c r="AH46" s="48"/>
      <c r="AI46" s="67"/>
      <c r="AJ46" s="65"/>
      <c r="AK46" s="65"/>
      <c r="AL46" s="51"/>
      <c r="AM46" s="50"/>
      <c r="AN46" s="50"/>
      <c r="AQ46" s="48"/>
      <c r="AR46" s="49"/>
      <c r="AS46" s="81"/>
    </row>
    <row r="47" spans="2:45" x14ac:dyDescent="0.2">
      <c r="B47" s="50"/>
      <c r="C47" s="50" t="s">
        <v>146</v>
      </c>
      <c r="D47" s="50"/>
      <c r="E47" s="50"/>
      <c r="F47" s="50"/>
      <c r="G47" s="50"/>
      <c r="H47" s="50"/>
      <c r="I47" s="96">
        <v>4</v>
      </c>
      <c r="J47" s="97" t="s">
        <v>147</v>
      </c>
      <c r="K47" s="123">
        <f>I47</f>
        <v>4</v>
      </c>
      <c r="L47" s="82" t="s">
        <v>132</v>
      </c>
      <c r="M47" s="344">
        <f>K47</f>
        <v>4</v>
      </c>
      <c r="N47" s="82" t="s">
        <v>132</v>
      </c>
      <c r="O47" s="344">
        <f>K47</f>
        <v>4</v>
      </c>
      <c r="P47" s="89"/>
      <c r="Q47" s="298"/>
      <c r="R47" s="84" t="s">
        <v>272</v>
      </c>
      <c r="S47" s="89"/>
      <c r="T47" s="90">
        <f>K47</f>
        <v>4</v>
      </c>
      <c r="U47" s="91" t="str">
        <f>$J47</f>
        <v>Hours / Failure</v>
      </c>
      <c r="V47" s="50"/>
      <c r="W47" s="90">
        <f>K47</f>
        <v>4</v>
      </c>
      <c r="X47" s="91" t="str">
        <f>$J47</f>
        <v>Hours / Failure</v>
      </c>
      <c r="Y47" s="87"/>
      <c r="Z47" s="67"/>
      <c r="AA47" s="84" t="s">
        <v>272</v>
      </c>
      <c r="AB47" s="89"/>
      <c r="AC47" s="90">
        <f>M47</f>
        <v>4</v>
      </c>
      <c r="AD47" s="91" t="str">
        <f>$J47</f>
        <v>Hours / Failure</v>
      </c>
      <c r="AE47" s="50"/>
      <c r="AF47" s="90">
        <f>M47</f>
        <v>4</v>
      </c>
      <c r="AG47" s="91" t="str">
        <f>$J47</f>
        <v>Hours / Failure</v>
      </c>
      <c r="AH47" s="87"/>
      <c r="AI47" s="88"/>
      <c r="AJ47" s="84" t="s">
        <v>272</v>
      </c>
      <c r="AK47" s="89"/>
      <c r="AL47" s="90">
        <f>O47</f>
        <v>4</v>
      </c>
      <c r="AM47" s="91" t="str">
        <f>$J47</f>
        <v>Hours / Failure</v>
      </c>
      <c r="AN47" s="50"/>
      <c r="AO47" s="90">
        <f>O47</f>
        <v>4</v>
      </c>
      <c r="AP47" s="91" t="str">
        <f>$J47</f>
        <v>Hours / Failure</v>
      </c>
      <c r="AQ47" s="87"/>
      <c r="AR47" s="92"/>
      <c r="AS47" s="80" t="s">
        <v>273</v>
      </c>
    </row>
    <row r="48" spans="2:45" ht="3.75" customHeight="1" x14ac:dyDescent="0.2">
      <c r="B48" s="50"/>
      <c r="C48" s="50"/>
      <c r="D48" s="50"/>
      <c r="E48" s="50"/>
      <c r="F48" s="50"/>
      <c r="G48" s="50"/>
      <c r="H48" s="50"/>
      <c r="I48" s="96"/>
      <c r="J48" s="97"/>
      <c r="Q48" s="297"/>
      <c r="R48" s="65"/>
      <c r="S48" s="65"/>
      <c r="T48" s="51"/>
      <c r="U48" s="50"/>
      <c r="V48" s="50"/>
      <c r="Y48" s="48"/>
      <c r="Z48" s="88"/>
      <c r="AA48" s="65"/>
      <c r="AB48" s="65"/>
      <c r="AC48" s="51"/>
      <c r="AD48" s="50"/>
      <c r="AE48" s="50"/>
      <c r="AH48" s="48"/>
      <c r="AI48" s="67"/>
      <c r="AJ48" s="65"/>
      <c r="AK48" s="65"/>
      <c r="AL48" s="51"/>
      <c r="AM48" s="50"/>
      <c r="AN48" s="50"/>
      <c r="AQ48" s="48"/>
      <c r="AR48" s="49"/>
      <c r="AS48" s="81"/>
    </row>
    <row r="49" spans="2:45" x14ac:dyDescent="0.2">
      <c r="B49" s="50"/>
      <c r="C49" s="50" t="s">
        <v>148</v>
      </c>
      <c r="D49" s="50"/>
      <c r="E49" s="50"/>
      <c r="F49" s="50"/>
      <c r="G49" s="50"/>
      <c r="H49" s="50"/>
      <c r="I49" s="96">
        <v>4</v>
      </c>
      <c r="J49" s="97" t="s">
        <v>147</v>
      </c>
      <c r="K49" s="123">
        <f>I49</f>
        <v>4</v>
      </c>
      <c r="L49" s="82" t="s">
        <v>132</v>
      </c>
      <c r="M49" s="344">
        <f>K49</f>
        <v>4</v>
      </c>
      <c r="N49" s="82" t="s">
        <v>132</v>
      </c>
      <c r="O49" s="344">
        <f>K49</f>
        <v>4</v>
      </c>
      <c r="P49" s="89"/>
      <c r="Q49" s="298"/>
      <c r="R49" s="84" t="s">
        <v>272</v>
      </c>
      <c r="S49" s="89"/>
      <c r="T49" s="90">
        <f>K49</f>
        <v>4</v>
      </c>
      <c r="U49" s="91" t="str">
        <f>$J49</f>
        <v>Hours / Failure</v>
      </c>
      <c r="V49" s="50"/>
      <c r="W49" s="90">
        <f>K49</f>
        <v>4</v>
      </c>
      <c r="X49" s="91" t="str">
        <f>$J49</f>
        <v>Hours / Failure</v>
      </c>
      <c r="Y49" s="87"/>
      <c r="Z49" s="67"/>
      <c r="AA49" s="84" t="s">
        <v>272</v>
      </c>
      <c r="AB49" s="89"/>
      <c r="AC49" s="90">
        <f>M49</f>
        <v>4</v>
      </c>
      <c r="AD49" s="91" t="str">
        <f>$J49</f>
        <v>Hours / Failure</v>
      </c>
      <c r="AE49" s="50"/>
      <c r="AF49" s="90">
        <f>M49</f>
        <v>4</v>
      </c>
      <c r="AG49" s="91" t="str">
        <f>$J49</f>
        <v>Hours / Failure</v>
      </c>
      <c r="AH49" s="87"/>
      <c r="AI49" s="88"/>
      <c r="AJ49" s="84" t="s">
        <v>272</v>
      </c>
      <c r="AK49" s="89"/>
      <c r="AL49" s="90">
        <f>O49</f>
        <v>4</v>
      </c>
      <c r="AM49" s="91" t="str">
        <f>$J49</f>
        <v>Hours / Failure</v>
      </c>
      <c r="AN49" s="50"/>
      <c r="AO49" s="90">
        <f>O49</f>
        <v>4</v>
      </c>
      <c r="AP49" s="91" t="str">
        <f>$J49</f>
        <v>Hours / Failure</v>
      </c>
      <c r="AQ49" s="87"/>
      <c r="AR49" s="92"/>
      <c r="AS49" s="80" t="s">
        <v>273</v>
      </c>
    </row>
    <row r="50" spans="2:45" ht="3.75" customHeight="1" x14ac:dyDescent="0.2">
      <c r="B50" s="50"/>
      <c r="C50" s="50"/>
      <c r="D50" s="50"/>
      <c r="E50" s="50"/>
      <c r="F50" s="50"/>
      <c r="G50" s="50"/>
      <c r="H50" s="50"/>
      <c r="I50" s="96"/>
      <c r="J50" s="97"/>
      <c r="Q50" s="297"/>
      <c r="R50" s="65"/>
      <c r="S50" s="65"/>
      <c r="T50" s="51"/>
      <c r="U50" s="50"/>
      <c r="V50" s="50"/>
      <c r="Y50" s="48"/>
      <c r="Z50" s="88"/>
      <c r="AA50" s="65"/>
      <c r="AB50" s="65"/>
      <c r="AC50" s="51"/>
      <c r="AD50" s="50"/>
      <c r="AE50" s="50"/>
      <c r="AH50" s="48"/>
      <c r="AI50" s="67"/>
      <c r="AJ50" s="65"/>
      <c r="AK50" s="65"/>
      <c r="AL50" s="51"/>
      <c r="AM50" s="50"/>
      <c r="AN50" s="50"/>
      <c r="AQ50" s="48"/>
      <c r="AR50" s="49"/>
      <c r="AS50" s="81"/>
    </row>
    <row r="51" spans="2:45" x14ac:dyDescent="0.2">
      <c r="B51" s="50"/>
      <c r="C51" s="50" t="s">
        <v>149</v>
      </c>
      <c r="D51" s="50"/>
      <c r="E51" s="50"/>
      <c r="F51" s="50"/>
      <c r="G51" s="50"/>
      <c r="H51" s="50"/>
      <c r="I51" s="96">
        <v>1</v>
      </c>
      <c r="J51" s="97" t="s">
        <v>150</v>
      </c>
      <c r="K51" s="123">
        <f>I51</f>
        <v>1</v>
      </c>
      <c r="L51" s="82" t="s">
        <v>132</v>
      </c>
      <c r="M51" s="344">
        <f>K51</f>
        <v>1</v>
      </c>
      <c r="N51" s="82" t="s">
        <v>132</v>
      </c>
      <c r="O51" s="344">
        <f>K51</f>
        <v>1</v>
      </c>
      <c r="P51" s="89"/>
      <c r="Q51" s="298"/>
      <c r="R51" s="84" t="s">
        <v>272</v>
      </c>
      <c r="S51" s="89"/>
      <c r="T51" s="90">
        <f>K51</f>
        <v>1</v>
      </c>
      <c r="U51" s="91" t="str">
        <f>$J51</f>
        <v>Quantity</v>
      </c>
      <c r="V51" s="50"/>
      <c r="W51" s="90">
        <f>K51</f>
        <v>1</v>
      </c>
      <c r="X51" s="91" t="str">
        <f>$J51</f>
        <v>Quantity</v>
      </c>
      <c r="Y51" s="87"/>
      <c r="Z51" s="67"/>
      <c r="AA51" s="84" t="s">
        <v>272</v>
      </c>
      <c r="AB51" s="89"/>
      <c r="AC51" s="90">
        <f>M51</f>
        <v>1</v>
      </c>
      <c r="AD51" s="91" t="str">
        <f>$J51</f>
        <v>Quantity</v>
      </c>
      <c r="AE51" s="50"/>
      <c r="AF51" s="90">
        <f>M51</f>
        <v>1</v>
      </c>
      <c r="AG51" s="91" t="str">
        <f>$J51</f>
        <v>Quantity</v>
      </c>
      <c r="AH51" s="87"/>
      <c r="AI51" s="88"/>
      <c r="AJ51" s="84" t="s">
        <v>272</v>
      </c>
      <c r="AK51" s="89"/>
      <c r="AL51" s="90">
        <f>O51</f>
        <v>1</v>
      </c>
      <c r="AM51" s="91" t="str">
        <f>$J51</f>
        <v>Quantity</v>
      </c>
      <c r="AN51" s="50"/>
      <c r="AO51" s="90">
        <f>O51</f>
        <v>1</v>
      </c>
      <c r="AP51" s="91" t="str">
        <f>$J51</f>
        <v>Quantity</v>
      </c>
      <c r="AQ51" s="87"/>
      <c r="AR51" s="92"/>
      <c r="AS51" s="80" t="s">
        <v>273</v>
      </c>
    </row>
    <row r="52" spans="2:45" ht="3.75" customHeight="1" x14ac:dyDescent="0.2">
      <c r="B52" s="50"/>
      <c r="C52" s="50"/>
      <c r="D52" s="50"/>
      <c r="E52" s="50"/>
      <c r="F52" s="50"/>
      <c r="G52" s="50"/>
      <c r="H52" s="50"/>
      <c r="I52" s="96"/>
      <c r="J52" s="97"/>
      <c r="Q52" s="297"/>
      <c r="R52" s="65"/>
      <c r="S52" s="65"/>
      <c r="T52" s="51"/>
      <c r="U52" s="50"/>
      <c r="V52" s="50"/>
      <c r="Y52" s="48"/>
      <c r="Z52" s="88"/>
      <c r="AA52" s="65"/>
      <c r="AB52" s="65"/>
      <c r="AC52" s="51"/>
      <c r="AD52" s="50"/>
      <c r="AE52" s="50"/>
      <c r="AH52" s="48"/>
      <c r="AI52" s="67"/>
      <c r="AJ52" s="65"/>
      <c r="AK52" s="65"/>
      <c r="AL52" s="51"/>
      <c r="AM52" s="50"/>
      <c r="AN52" s="50"/>
      <c r="AQ52" s="48"/>
      <c r="AR52" s="49"/>
      <c r="AS52" s="81"/>
    </row>
    <row r="53" spans="2:45" x14ac:dyDescent="0.2">
      <c r="B53" s="50"/>
      <c r="C53" s="50" t="s">
        <v>151</v>
      </c>
      <c r="D53" s="50"/>
      <c r="E53" s="50"/>
      <c r="F53" s="50"/>
      <c r="G53" s="50"/>
      <c r="H53" s="50"/>
      <c r="I53" s="96">
        <v>365</v>
      </c>
      <c r="J53" s="97" t="s">
        <v>152</v>
      </c>
      <c r="K53" s="123">
        <f>I53</f>
        <v>365</v>
      </c>
      <c r="L53" s="82" t="s">
        <v>132</v>
      </c>
      <c r="M53" s="344">
        <f>K53</f>
        <v>365</v>
      </c>
      <c r="N53" s="82" t="s">
        <v>132</v>
      </c>
      <c r="O53" s="344">
        <f>K53</f>
        <v>365</v>
      </c>
      <c r="P53" s="89"/>
      <c r="Q53" s="298"/>
      <c r="R53" s="84" t="s">
        <v>272</v>
      </c>
      <c r="S53" s="89"/>
      <c r="T53" s="90">
        <f>K53</f>
        <v>365</v>
      </c>
      <c r="U53" s="91" t="str">
        <f>$J53</f>
        <v>Days / Year</v>
      </c>
      <c r="V53" s="50"/>
      <c r="W53" s="90">
        <f>K53</f>
        <v>365</v>
      </c>
      <c r="X53" s="91" t="str">
        <f>$J53</f>
        <v>Days / Year</v>
      </c>
      <c r="Y53" s="87"/>
      <c r="Z53" s="67"/>
      <c r="AA53" s="84" t="s">
        <v>272</v>
      </c>
      <c r="AB53" s="89"/>
      <c r="AC53" s="90">
        <f>M53</f>
        <v>365</v>
      </c>
      <c r="AD53" s="91" t="str">
        <f>$J53</f>
        <v>Days / Year</v>
      </c>
      <c r="AE53" s="50"/>
      <c r="AF53" s="90">
        <f>M53</f>
        <v>365</v>
      </c>
      <c r="AG53" s="91" t="str">
        <f>$J53</f>
        <v>Days / Year</v>
      </c>
      <c r="AH53" s="87"/>
      <c r="AI53" s="88"/>
      <c r="AJ53" s="84" t="s">
        <v>272</v>
      </c>
      <c r="AK53" s="89"/>
      <c r="AL53" s="90">
        <f>O53</f>
        <v>365</v>
      </c>
      <c r="AM53" s="91" t="str">
        <f>$J53</f>
        <v>Days / Year</v>
      </c>
      <c r="AN53" s="50"/>
      <c r="AO53" s="90">
        <f>O53</f>
        <v>365</v>
      </c>
      <c r="AP53" s="91" t="str">
        <f>$J53</f>
        <v>Days / Year</v>
      </c>
      <c r="AQ53" s="87"/>
      <c r="AR53" s="92"/>
      <c r="AS53" s="80" t="s">
        <v>273</v>
      </c>
    </row>
    <row r="54" spans="2:45" ht="3.75" customHeight="1" x14ac:dyDescent="0.2">
      <c r="B54" s="50"/>
      <c r="C54" s="50"/>
      <c r="D54" s="50"/>
      <c r="E54" s="50"/>
      <c r="F54" s="50"/>
      <c r="G54" s="50"/>
      <c r="H54" s="50"/>
      <c r="I54" s="96"/>
      <c r="J54" s="97"/>
      <c r="Q54" s="297"/>
      <c r="R54" s="65"/>
      <c r="S54" s="65"/>
      <c r="T54" s="51"/>
      <c r="U54" s="50"/>
      <c r="V54" s="50"/>
      <c r="Y54" s="48"/>
      <c r="Z54" s="88"/>
      <c r="AA54" s="65"/>
      <c r="AB54" s="65"/>
      <c r="AC54" s="51"/>
      <c r="AD54" s="50"/>
      <c r="AE54" s="50"/>
      <c r="AH54" s="48"/>
      <c r="AI54" s="67"/>
      <c r="AJ54" s="65"/>
      <c r="AK54" s="65"/>
      <c r="AL54" s="51"/>
      <c r="AM54" s="50"/>
      <c r="AN54" s="50"/>
      <c r="AQ54" s="48"/>
      <c r="AR54" s="49"/>
      <c r="AS54" s="81"/>
    </row>
    <row r="55" spans="2:45" x14ac:dyDescent="0.2">
      <c r="B55" s="50"/>
      <c r="C55" s="50" t="s">
        <v>153</v>
      </c>
      <c r="D55" s="50"/>
      <c r="E55" s="50"/>
      <c r="F55" s="50"/>
      <c r="G55" s="50"/>
      <c r="H55" s="50"/>
      <c r="I55" s="96">
        <v>25</v>
      </c>
      <c r="J55" s="97" t="s">
        <v>154</v>
      </c>
      <c r="K55" s="123">
        <f>I55</f>
        <v>25</v>
      </c>
      <c r="L55" s="82" t="s">
        <v>132</v>
      </c>
      <c r="M55" s="344">
        <f>K55</f>
        <v>25</v>
      </c>
      <c r="N55" s="82" t="s">
        <v>132</v>
      </c>
      <c r="O55" s="344">
        <f>K55</f>
        <v>25</v>
      </c>
      <c r="P55" s="89"/>
      <c r="Q55" s="298"/>
      <c r="R55" s="84" t="s">
        <v>272</v>
      </c>
      <c r="S55" s="89"/>
      <c r="T55" s="90">
        <f>K55</f>
        <v>25</v>
      </c>
      <c r="U55" s="91" t="str">
        <f>$J55</f>
        <v>Years</v>
      </c>
      <c r="V55" s="50"/>
      <c r="W55" s="90">
        <f>K55</f>
        <v>25</v>
      </c>
      <c r="X55" s="91" t="str">
        <f>$J55</f>
        <v>Years</v>
      </c>
      <c r="Y55" s="87"/>
      <c r="Z55" s="67"/>
      <c r="AA55" s="84" t="s">
        <v>272</v>
      </c>
      <c r="AB55" s="89"/>
      <c r="AC55" s="90">
        <f>M55</f>
        <v>25</v>
      </c>
      <c r="AD55" s="91" t="str">
        <f>$J55</f>
        <v>Years</v>
      </c>
      <c r="AE55" s="50"/>
      <c r="AF55" s="90">
        <f>M55</f>
        <v>25</v>
      </c>
      <c r="AG55" s="91" t="str">
        <f>$J55</f>
        <v>Years</v>
      </c>
      <c r="AH55" s="87"/>
      <c r="AI55" s="88"/>
      <c r="AJ55" s="84" t="s">
        <v>272</v>
      </c>
      <c r="AK55" s="89"/>
      <c r="AL55" s="90">
        <f>O55</f>
        <v>25</v>
      </c>
      <c r="AM55" s="91" t="str">
        <f>$J55</f>
        <v>Years</v>
      </c>
      <c r="AN55" s="50"/>
      <c r="AO55" s="90">
        <f>O55</f>
        <v>25</v>
      </c>
      <c r="AP55" s="91" t="str">
        <f>$J55</f>
        <v>Years</v>
      </c>
      <c r="AQ55" s="87"/>
      <c r="AR55" s="92"/>
      <c r="AS55" s="80" t="s">
        <v>273</v>
      </c>
    </row>
    <row r="56" spans="2:45" ht="14.25" customHeight="1" thickBot="1" x14ac:dyDescent="0.25">
      <c r="B56" s="252"/>
      <c r="C56" s="252"/>
      <c r="D56" s="252"/>
      <c r="E56" s="252"/>
      <c r="F56" s="252"/>
      <c r="G56" s="252"/>
      <c r="H56" s="252"/>
      <c r="I56" s="253"/>
      <c r="J56" s="254"/>
      <c r="K56" s="71"/>
      <c r="L56" s="72"/>
      <c r="M56" s="71"/>
      <c r="N56" s="72"/>
      <c r="O56" s="71"/>
      <c r="Q56" s="297"/>
      <c r="R56" s="65"/>
      <c r="S56" s="65"/>
      <c r="T56" s="51"/>
      <c r="U56" s="50"/>
      <c r="V56" s="50"/>
      <c r="Y56" s="48"/>
      <c r="Z56" s="88"/>
      <c r="AA56" s="65"/>
      <c r="AB56" s="65"/>
      <c r="AC56" s="51"/>
      <c r="AD56" s="50"/>
      <c r="AE56" s="50"/>
      <c r="AH56" s="48"/>
      <c r="AI56" s="67"/>
      <c r="AJ56" s="65"/>
      <c r="AK56" s="65"/>
      <c r="AL56" s="51"/>
      <c r="AM56" s="50"/>
      <c r="AN56" s="50"/>
      <c r="AQ56" s="48"/>
      <c r="AR56" s="49"/>
      <c r="AS56" s="81"/>
    </row>
    <row r="57" spans="2:45" ht="24.75" customHeight="1" x14ac:dyDescent="0.2">
      <c r="B57" s="255" t="s">
        <v>155</v>
      </c>
      <c r="C57" s="256"/>
      <c r="D57" s="256"/>
      <c r="E57" s="256"/>
      <c r="F57" s="256"/>
      <c r="G57" s="256"/>
      <c r="H57" s="256"/>
      <c r="I57" s="257" t="s">
        <v>129</v>
      </c>
      <c r="J57" s="258" t="s">
        <v>130</v>
      </c>
      <c r="K57" s="77"/>
      <c r="L57" s="78"/>
      <c r="M57" s="77"/>
      <c r="N57" s="79"/>
      <c r="O57" s="77"/>
      <c r="Q57" s="297"/>
      <c r="R57" s="65"/>
      <c r="S57" s="65"/>
      <c r="T57" s="51"/>
      <c r="U57" s="50"/>
      <c r="V57" s="50"/>
      <c r="Y57" s="48"/>
      <c r="Z57" s="67"/>
      <c r="AA57" s="65"/>
      <c r="AB57" s="65"/>
      <c r="AC57" s="51"/>
      <c r="AD57" s="50"/>
      <c r="AE57" s="50"/>
      <c r="AH57" s="48"/>
      <c r="AI57" s="67"/>
      <c r="AJ57" s="65"/>
      <c r="AK57" s="65"/>
      <c r="AL57" s="51"/>
      <c r="AM57" s="50"/>
      <c r="AN57" s="50"/>
      <c r="AQ57" s="48"/>
      <c r="AR57" s="49"/>
      <c r="AS57" s="80"/>
    </row>
    <row r="58" spans="2:45" ht="3.75" customHeight="1" x14ac:dyDescent="0.2">
      <c r="B58" s="50"/>
      <c r="C58" s="50"/>
      <c r="D58" s="50"/>
      <c r="E58" s="50"/>
      <c r="F58" s="50"/>
      <c r="G58" s="50"/>
      <c r="H58" s="50"/>
      <c r="I58" s="96"/>
      <c r="J58" s="97"/>
      <c r="Q58" s="297"/>
      <c r="R58" s="65"/>
      <c r="S58" s="65"/>
      <c r="T58" s="51"/>
      <c r="U58" s="50"/>
      <c r="V58" s="50"/>
      <c r="Y58" s="48"/>
      <c r="Z58" s="67"/>
      <c r="AA58" s="65"/>
      <c r="AB58" s="65"/>
      <c r="AC58" s="51"/>
      <c r="AD58" s="50"/>
      <c r="AE58" s="50"/>
      <c r="AH58" s="48"/>
      <c r="AI58" s="67"/>
      <c r="AJ58" s="65"/>
      <c r="AK58" s="65"/>
      <c r="AL58" s="51"/>
      <c r="AM58" s="50"/>
      <c r="AN58" s="50"/>
      <c r="AQ58" s="48"/>
      <c r="AR58" s="49"/>
      <c r="AS58" s="93"/>
    </row>
    <row r="59" spans="2:45" x14ac:dyDescent="0.2">
      <c r="B59" s="50"/>
      <c r="C59" s="50" t="s">
        <v>156</v>
      </c>
      <c r="D59" s="50"/>
      <c r="E59" s="50"/>
      <c r="F59" s="50"/>
      <c r="G59" s="50"/>
      <c r="H59" s="50"/>
      <c r="I59" s="96" t="s">
        <v>157</v>
      </c>
      <c r="J59" s="97" t="s">
        <v>158</v>
      </c>
      <c r="K59" s="125" t="s">
        <v>157</v>
      </c>
      <c r="L59" s="126"/>
      <c r="M59" s="125" t="s">
        <v>157</v>
      </c>
      <c r="N59" s="126"/>
      <c r="O59" s="125" t="s">
        <v>190</v>
      </c>
      <c r="P59" s="89"/>
      <c r="Q59" s="298"/>
      <c r="R59" s="84" t="str">
        <f>IF(OR(T$30=$B$10,T$30=$B$11,T$30=$B$13,T$30=$B$14,T$30=$B$15),"Required","Not Required")</f>
        <v>Required</v>
      </c>
      <c r="S59" s="89"/>
      <c r="T59" s="90" t="str">
        <f>IF(R59="Not Required",0,IF(K59&lt;&gt;"Yes","No",K59))</f>
        <v>No</v>
      </c>
      <c r="U59" s="91" t="str">
        <f>$J59</f>
        <v>Yes/No</v>
      </c>
      <c r="V59" s="50"/>
      <c r="W59" s="90" t="str">
        <f>IF(R59="Not Required",0,IF(K59&lt;&gt;"Yes","No",K59))</f>
        <v>No</v>
      </c>
      <c r="X59" s="91" t="str">
        <f>$J59</f>
        <v>Yes/No</v>
      </c>
      <c r="Y59" s="87"/>
      <c r="Z59" s="67"/>
      <c r="AA59" s="84" t="str">
        <f>IF(OR(AC$30=$B$10,AC$30=$B$11,AC$30=$B$13,AC$30=$B$14,AC$30=$B$15),"Required","Not Required")</f>
        <v>Not Required</v>
      </c>
      <c r="AB59" s="89"/>
      <c r="AC59" s="90">
        <f>IF(AA59="Not Required",0,IF(M59&lt;&gt;"Yes","No",M59))</f>
        <v>0</v>
      </c>
      <c r="AD59" s="91" t="str">
        <f>$J59</f>
        <v>Yes/No</v>
      </c>
      <c r="AE59" s="50"/>
      <c r="AF59" s="90">
        <f>IF(AA59="Not Required",0,IF(M59&lt;&gt;"Yes","No",M59))</f>
        <v>0</v>
      </c>
      <c r="AG59" s="91" t="str">
        <f>$J59</f>
        <v>Yes/No</v>
      </c>
      <c r="AH59" s="87"/>
      <c r="AI59" s="88"/>
      <c r="AJ59" s="84" t="str">
        <f>IF(OR(AL$30=$B$10,AL$30=$B$11,AL$30=$B$13,AL$30=$B$14,AL$30=$B$15),"Required","Not Required")</f>
        <v>Not Required</v>
      </c>
      <c r="AK59" s="89"/>
      <c r="AL59" s="90">
        <f>IF(AJ59="Not Required",0,IF(O59&lt;&gt;"Yes","No",O59))</f>
        <v>0</v>
      </c>
      <c r="AM59" s="91" t="str">
        <f>$J59</f>
        <v>Yes/No</v>
      </c>
      <c r="AN59" s="50"/>
      <c r="AO59" s="90">
        <f>IF(AJ59="Not Required",0,IF(O59&lt;&gt;"Yes","No",O59))</f>
        <v>0</v>
      </c>
      <c r="AP59" s="91" t="str">
        <f>$J59</f>
        <v>Yes/No</v>
      </c>
      <c r="AQ59" s="87"/>
      <c r="AR59" s="92"/>
      <c r="AS59" s="80" t="s">
        <v>189</v>
      </c>
    </row>
    <row r="60" spans="2:45" ht="3.75" customHeight="1" x14ac:dyDescent="0.2">
      <c r="B60" s="50"/>
      <c r="C60" s="50"/>
      <c r="D60" s="50"/>
      <c r="E60" s="50"/>
      <c r="F60" s="50"/>
      <c r="G60" s="50"/>
      <c r="H60" s="50"/>
      <c r="I60" s="96"/>
      <c r="J60" s="97"/>
      <c r="K60" s="43"/>
      <c r="M60" s="43"/>
      <c r="O60" s="43"/>
      <c r="Q60" s="297"/>
      <c r="R60" s="65"/>
      <c r="S60" s="65"/>
      <c r="T60" s="51"/>
      <c r="U60" s="50"/>
      <c r="V60" s="50"/>
      <c r="Y60" s="48"/>
      <c r="Z60" s="88"/>
      <c r="AA60" s="65"/>
      <c r="AB60" s="65"/>
      <c r="AC60" s="51"/>
      <c r="AD60" s="50"/>
      <c r="AE60" s="50"/>
      <c r="AH60" s="48"/>
      <c r="AI60" s="67"/>
      <c r="AJ60" s="65"/>
      <c r="AK60" s="65"/>
      <c r="AL60" s="51"/>
      <c r="AM60" s="50"/>
      <c r="AN60" s="50"/>
      <c r="AQ60" s="48"/>
      <c r="AR60" s="49"/>
      <c r="AS60" s="93"/>
    </row>
    <row r="61" spans="2:45" x14ac:dyDescent="0.2">
      <c r="B61" s="50"/>
      <c r="C61" s="50" t="s">
        <v>159</v>
      </c>
      <c r="D61" s="50"/>
      <c r="E61" s="50"/>
      <c r="F61" s="50"/>
      <c r="G61" s="50"/>
      <c r="H61" s="50"/>
      <c r="I61" s="179">
        <f>IF(UnitsOfMeasure="Metric",ROUND(ExchangeRate/$U$12/5,2)*5,0.5)</f>
        <v>0.5</v>
      </c>
      <c r="J61" s="97" t="str">
        <f>IF(UnitsOfMeasure="Metric","€ / m³","$ / 1000 Gallons")</f>
        <v>$ / 1000 Gallons</v>
      </c>
      <c r="K61" s="268">
        <f>I61</f>
        <v>0.5</v>
      </c>
      <c r="L61" s="82"/>
      <c r="M61" s="268">
        <f>K61</f>
        <v>0.5</v>
      </c>
      <c r="N61" s="82"/>
      <c r="O61" s="268">
        <f>K61</f>
        <v>0.5</v>
      </c>
      <c r="P61" s="89"/>
      <c r="Q61" s="298"/>
      <c r="R61" s="84" t="str">
        <f>IF(AND(T$59="Yes",OR(T$30=$B$10,T$30=$B$11,T$30=$B$13,T$30=$B$14,T$30=$B$15)),"Required","Not Required")</f>
        <v>Not Required</v>
      </c>
      <c r="S61" s="89"/>
      <c r="T61" s="90">
        <f>IF(R61="Not Required",0,IF(UnitsOfMeasure="Metric",K61,K61*ExchangeRate/$U$12))</f>
        <v>0</v>
      </c>
      <c r="U61" s="91" t="s">
        <v>160</v>
      </c>
      <c r="V61" s="50"/>
      <c r="W61" s="90">
        <f>IF(R61="Not Required",0,IF(UnitsOfMeasure="Imperial",K61,K61*$U$12/ExchangeRate))</f>
        <v>0</v>
      </c>
      <c r="X61" s="91" t="s">
        <v>161</v>
      </c>
      <c r="Y61" s="87"/>
      <c r="Z61" s="67"/>
      <c r="AA61" s="84" t="str">
        <f>IF(AND(AC$59="Yes",OR(AC$30=$B$10,AC$30=$B$11,AC$30=$B$13,AC$30=$B$14,AC$30=$B$15)),"Required","Not Required")</f>
        <v>Not Required</v>
      </c>
      <c r="AB61" s="89"/>
      <c r="AC61" s="90">
        <f>IF(AA61="Not Required",0,IF(UnitsOfMeasure="Metric",M61,M61*ExchangeRate/$U$12))</f>
        <v>0</v>
      </c>
      <c r="AD61" s="91" t="s">
        <v>160</v>
      </c>
      <c r="AE61" s="50"/>
      <c r="AF61" s="90">
        <f>IF(AA61="Not Required",0,IF(UnitsOfMeasure="Imperial",M61,M61*$U$12/ExchangeRate))</f>
        <v>0</v>
      </c>
      <c r="AG61" s="91" t="s">
        <v>161</v>
      </c>
      <c r="AH61" s="87"/>
      <c r="AI61" s="88"/>
      <c r="AJ61" s="84" t="str">
        <f>IF(AND(AL$59="Yes",OR(AL$30=$B$10,AL$30=$B$11,AL$30=$B$13,AL$30=$B$14,AL$30=$B$15)),"Required","Not Required")</f>
        <v>Not Required</v>
      </c>
      <c r="AK61" s="89"/>
      <c r="AL61" s="90">
        <f>IF(AJ61="Not Required",0,IF(UnitsOfMeasure="Metric",O61,O61*ExchangeRate/$U$12))</f>
        <v>0</v>
      </c>
      <c r="AM61" s="91" t="s">
        <v>160</v>
      </c>
      <c r="AN61" s="50"/>
      <c r="AO61" s="90">
        <f>IF(AJ61="Not Required",0,IF(UnitsOfMeasure="Imperial",O61,O61*$U$12/ExchangeRate))</f>
        <v>0</v>
      </c>
      <c r="AP61" s="91" t="s">
        <v>161</v>
      </c>
      <c r="AQ61" s="87"/>
      <c r="AR61" s="92"/>
      <c r="AS61" s="80" t="s">
        <v>184</v>
      </c>
    </row>
    <row r="62" spans="2:45" ht="3.75" customHeight="1" x14ac:dyDescent="0.2">
      <c r="B62" s="50"/>
      <c r="C62" s="50"/>
      <c r="D62" s="50"/>
      <c r="E62" s="50"/>
      <c r="F62" s="50"/>
      <c r="G62" s="50"/>
      <c r="H62" s="50"/>
      <c r="I62" s="96"/>
      <c r="J62" s="97"/>
      <c r="Q62" s="297"/>
      <c r="R62" s="65"/>
      <c r="S62" s="65"/>
      <c r="T62" s="51"/>
      <c r="U62" s="50"/>
      <c r="V62" s="50"/>
      <c r="Y62" s="48"/>
      <c r="Z62" s="88"/>
      <c r="AA62" s="65"/>
      <c r="AB62" s="65"/>
      <c r="AC62" s="51"/>
      <c r="AD62" s="50"/>
      <c r="AE62" s="50"/>
      <c r="AH62" s="48"/>
      <c r="AI62" s="67"/>
      <c r="AJ62" s="65"/>
      <c r="AK62" s="65"/>
      <c r="AL62" s="51"/>
      <c r="AM62" s="50"/>
      <c r="AN62" s="50"/>
      <c r="AQ62" s="48"/>
      <c r="AR62" s="49"/>
      <c r="AS62" s="93"/>
    </row>
    <row r="63" spans="2:45" x14ac:dyDescent="0.2">
      <c r="B63" s="50"/>
      <c r="C63" s="50" t="s">
        <v>162</v>
      </c>
      <c r="D63" s="50"/>
      <c r="E63" s="50"/>
      <c r="F63" s="50"/>
      <c r="G63" s="50"/>
      <c r="H63" s="50"/>
      <c r="I63" s="179">
        <f>IF(UnitsOfMeasure="Metric",ROUND(ExchangeRate/$U$12/5,2)*5,0.5)</f>
        <v>0.5</v>
      </c>
      <c r="J63" s="97" t="str">
        <f>IF(UnitsOfMeasure="Metric","€ / m³","$ / 1000 Gallons")</f>
        <v>$ / 1000 Gallons</v>
      </c>
      <c r="K63" s="268">
        <f>I63</f>
        <v>0.5</v>
      </c>
      <c r="L63" s="82"/>
      <c r="M63" s="268">
        <f>K63</f>
        <v>0.5</v>
      </c>
      <c r="N63" s="82"/>
      <c r="O63" s="268">
        <f>K63</f>
        <v>0.5</v>
      </c>
      <c r="P63" s="89"/>
      <c r="Q63" s="298"/>
      <c r="R63" s="84" t="str">
        <f>IF(OR(T$30=$B$12,T$30=$B$23),"Required","Not Required")</f>
        <v>Not Required</v>
      </c>
      <c r="S63" s="89"/>
      <c r="T63" s="90">
        <f>IF(R63="Not Required",0,IF(UnitsOfMeasure="Metric",K63,K63*ExchangeRate/$U$12))</f>
        <v>0</v>
      </c>
      <c r="U63" s="91" t="s">
        <v>160</v>
      </c>
      <c r="V63" s="50"/>
      <c r="W63" s="90">
        <f>IF(R63="Not Required",0,IF(UnitsOfMeasure="Imperial",K63,K63*$U$12/ExchangeRate))</f>
        <v>0</v>
      </c>
      <c r="X63" s="91" t="s">
        <v>161</v>
      </c>
      <c r="Y63" s="87"/>
      <c r="Z63" s="67"/>
      <c r="AA63" s="84" t="str">
        <f>IF(OR(AC$30=$B$12,AC$30=$B$23),"Required","Not Required")</f>
        <v>Required</v>
      </c>
      <c r="AB63" s="89"/>
      <c r="AC63" s="90">
        <f>IF(AA63="Not Required",0,IF(UnitsOfMeasure="Metric",M63,M63*ExchangeRate/$U$12))</f>
        <v>9.9262695454389344E-2</v>
      </c>
      <c r="AD63" s="91" t="s">
        <v>160</v>
      </c>
      <c r="AE63" s="50"/>
      <c r="AF63" s="90">
        <f>IF(AA63="Not Required",0,IF(UnitsOfMeasure="Imperial",M63,M63*$U$12/ExchangeRate))</f>
        <v>0.5</v>
      </c>
      <c r="AG63" s="91" t="s">
        <v>161</v>
      </c>
      <c r="AH63" s="87"/>
      <c r="AI63" s="88"/>
      <c r="AJ63" s="84" t="str">
        <f>IF(OR(AL$30=$B$12,AL$30=$B$23),"Required","Not Required")</f>
        <v>Required</v>
      </c>
      <c r="AK63" s="89"/>
      <c r="AL63" s="90">
        <f>IF(AJ63="Not Required",0,IF(UnitsOfMeasure="Metric",O63,O63*ExchangeRate/$U$12))</f>
        <v>9.9262695454389344E-2</v>
      </c>
      <c r="AM63" s="91" t="s">
        <v>160</v>
      </c>
      <c r="AN63" s="50"/>
      <c r="AO63" s="90">
        <f>IF(AJ63="Not Required",0,IF(UnitsOfMeasure="Imperial",O63,O63*$U$12/ExchangeRate))</f>
        <v>0.5</v>
      </c>
      <c r="AP63" s="91" t="s">
        <v>161</v>
      </c>
      <c r="AQ63" s="87"/>
      <c r="AR63" s="92"/>
      <c r="AS63" s="80" t="s">
        <v>183</v>
      </c>
    </row>
    <row r="64" spans="2:45" ht="3.75" customHeight="1" x14ac:dyDescent="0.2">
      <c r="B64" s="50"/>
      <c r="C64" s="50"/>
      <c r="D64" s="50"/>
      <c r="E64" s="50"/>
      <c r="F64" s="50"/>
      <c r="G64" s="50"/>
      <c r="H64" s="50"/>
      <c r="I64" s="96"/>
      <c r="J64" s="97"/>
      <c r="Q64" s="297"/>
      <c r="R64" s="65"/>
      <c r="S64" s="65"/>
      <c r="Y64" s="48"/>
      <c r="Z64" s="88"/>
      <c r="AA64" s="65"/>
      <c r="AB64" s="65"/>
      <c r="AC64" s="58"/>
      <c r="AH64" s="48"/>
      <c r="AI64" s="67"/>
      <c r="AJ64" s="65"/>
      <c r="AK64" s="65"/>
      <c r="AL64" s="58"/>
      <c r="AQ64" s="48"/>
      <c r="AR64" s="49"/>
      <c r="AS64" s="93"/>
    </row>
    <row r="65" spans="1:45" x14ac:dyDescent="0.2">
      <c r="B65" s="50"/>
      <c r="C65" s="50" t="s">
        <v>163</v>
      </c>
      <c r="D65" s="50"/>
      <c r="E65" s="50"/>
      <c r="F65" s="50"/>
      <c r="G65" s="50"/>
      <c r="H65" s="50"/>
      <c r="I65" s="179">
        <f>IF(UnitsOfMeasure="Metric",ROUND(ExchangeRate/$U$12/5,2)*5,0.5)</f>
        <v>0.5</v>
      </c>
      <c r="J65" s="97" t="str">
        <f>IF(UnitsOfMeasure="Metric","€ / m³","$ / 1000 Gallons")</f>
        <v>$ / 1000 Gallons</v>
      </c>
      <c r="K65" s="268">
        <f>I65</f>
        <v>0.5</v>
      </c>
      <c r="L65" s="82"/>
      <c r="M65" s="268">
        <f>K65</f>
        <v>0.5</v>
      </c>
      <c r="N65" s="82"/>
      <c r="O65" s="268">
        <f>K65</f>
        <v>0.5</v>
      </c>
      <c r="P65" s="89"/>
      <c r="Q65" s="298"/>
      <c r="R65" s="84" t="str">
        <f>IF(OR(T$30=$B$7,T$30=$B$9),"Required","Not Required")</f>
        <v>Not Required</v>
      </c>
      <c r="S65" s="89"/>
      <c r="T65" s="90">
        <f>IF(R65="Not Required",0,IF(UnitsOfMeasure="Metric",K65,K65*ExchangeRate/$U$12))</f>
        <v>0</v>
      </c>
      <c r="U65" s="91" t="s">
        <v>160</v>
      </c>
      <c r="V65" s="50"/>
      <c r="W65" s="90">
        <f>IF(R65="Not Required",0,IF(UnitsOfMeasure="Imperial",K65,K65*$U$12/ExchangeRate))</f>
        <v>0</v>
      </c>
      <c r="X65" s="91" t="s">
        <v>161</v>
      </c>
      <c r="Y65" s="87"/>
      <c r="Z65" s="67"/>
      <c r="AA65" s="84" t="str">
        <f>IF(OR(AC$30=$B$7,AC$30=$B$9),"Required","Not Required")</f>
        <v>Not Required</v>
      </c>
      <c r="AB65" s="89"/>
      <c r="AC65" s="90">
        <f>IF(AA65="Not Required",0,IF(UnitsOfMeasure="Metric",M65,M65*ExchangeRate/$U$12))</f>
        <v>0</v>
      </c>
      <c r="AD65" s="91" t="s">
        <v>160</v>
      </c>
      <c r="AE65" s="50"/>
      <c r="AF65" s="90">
        <f>IF(AA65="Not Required",0,IF(UnitsOfMeasure="Imperial",M65,M65*$U$12/ExchangeRate))</f>
        <v>0</v>
      </c>
      <c r="AG65" s="91" t="s">
        <v>161</v>
      </c>
      <c r="AH65" s="87"/>
      <c r="AI65" s="88"/>
      <c r="AJ65" s="84" t="str">
        <f>IF(OR(AL$30=$B$7,AL$30=$B$9),"Required","Not Required")</f>
        <v>Not Required</v>
      </c>
      <c r="AK65" s="89"/>
      <c r="AL65" s="90">
        <f>IF(AJ65="Not Required",0,IF(UnitsOfMeasure="Metric",O65,O65*ExchangeRate/$U$12))</f>
        <v>0</v>
      </c>
      <c r="AM65" s="91" t="s">
        <v>160</v>
      </c>
      <c r="AN65" s="50"/>
      <c r="AO65" s="90">
        <f>IF(AJ65="Not Required",0,IF(UnitsOfMeasure="Imperial",O65,O65*$U$12/ExchangeRate))</f>
        <v>0</v>
      </c>
      <c r="AP65" s="91" t="s">
        <v>161</v>
      </c>
      <c r="AQ65" s="87"/>
      <c r="AR65" s="92"/>
      <c r="AS65" s="80" t="s">
        <v>185</v>
      </c>
    </row>
    <row r="66" spans="1:45" ht="3.75" customHeight="1" x14ac:dyDescent="0.2">
      <c r="B66" s="50"/>
      <c r="C66" s="50"/>
      <c r="D66" s="50"/>
      <c r="E66" s="50"/>
      <c r="F66" s="50"/>
      <c r="G66" s="50"/>
      <c r="H66" s="50"/>
      <c r="I66" s="96"/>
      <c r="J66" s="97"/>
      <c r="Q66" s="297"/>
      <c r="R66" s="65"/>
      <c r="S66" s="65"/>
      <c r="Y66" s="48"/>
      <c r="Z66" s="88"/>
      <c r="AA66" s="65"/>
      <c r="AB66" s="65"/>
      <c r="AC66" s="58"/>
      <c r="AH66" s="48"/>
      <c r="AI66" s="67"/>
      <c r="AJ66" s="65"/>
      <c r="AK66" s="65"/>
      <c r="AL66" s="58"/>
      <c r="AQ66" s="48"/>
      <c r="AR66" s="49"/>
      <c r="AS66" s="93"/>
    </row>
    <row r="67" spans="1:45" x14ac:dyDescent="0.2">
      <c r="B67" s="50"/>
      <c r="C67" s="50" t="s">
        <v>164</v>
      </c>
      <c r="D67" s="50"/>
      <c r="E67" s="50"/>
      <c r="F67" s="50"/>
      <c r="G67" s="50"/>
      <c r="H67" s="50"/>
      <c r="I67" s="96" t="s">
        <v>157</v>
      </c>
      <c r="J67" s="97" t="s">
        <v>158</v>
      </c>
      <c r="K67" s="125" t="s">
        <v>157</v>
      </c>
      <c r="L67" s="82"/>
      <c r="M67" s="125" t="str">
        <f>K67</f>
        <v>No</v>
      </c>
      <c r="N67" s="82"/>
      <c r="O67" s="125" t="s">
        <v>157</v>
      </c>
      <c r="P67" s="89"/>
      <c r="Q67" s="298"/>
      <c r="R67" s="84" t="str">
        <f>IF(OR(T$30=$B$12,T$30=$B$23),"Required","Not Required")</f>
        <v>Not Required</v>
      </c>
      <c r="S67" s="89"/>
      <c r="T67" s="90">
        <f>IF(R67="Not Required",0,IF(K67&lt;&gt;"Yes","No",K67))</f>
        <v>0</v>
      </c>
      <c r="U67" s="91" t="str">
        <f>$J67</f>
        <v>Yes/No</v>
      </c>
      <c r="W67" s="90">
        <f>IF(R67="Not Required",0,IF(K67&lt;&gt;"Yes","No",K67))</f>
        <v>0</v>
      </c>
      <c r="X67" s="91" t="str">
        <f>$J67</f>
        <v>Yes/No</v>
      </c>
      <c r="Y67" s="87"/>
      <c r="Z67" s="67"/>
      <c r="AA67" s="84" t="str">
        <f>IF(OR(AC$30=$B$12,AC$30=$B$23),"Required","Not Required")</f>
        <v>Required</v>
      </c>
      <c r="AB67" s="89"/>
      <c r="AC67" s="90" t="str">
        <f>IF(AA67="Not Required",0,IF(M67&lt;&gt;"Yes","No",M67))</f>
        <v>No</v>
      </c>
      <c r="AD67" s="91" t="str">
        <f>$J67</f>
        <v>Yes/No</v>
      </c>
      <c r="AF67" s="90" t="str">
        <f>IF(AA67="Not Required",0,IF(M67&lt;&gt;"Yes","No",M67))</f>
        <v>No</v>
      </c>
      <c r="AG67" s="91" t="str">
        <f>$J67</f>
        <v>Yes/No</v>
      </c>
      <c r="AH67" s="87"/>
      <c r="AI67" s="88"/>
      <c r="AJ67" s="84" t="str">
        <f>IF(OR(AL$30=$B$12,AL$30=$B$23),"Required","Not Required")</f>
        <v>Required</v>
      </c>
      <c r="AK67" s="89"/>
      <c r="AL67" s="90" t="str">
        <f>IF(AJ67="Not Required",0,IF(O67&lt;&gt;"Yes","No",O67))</f>
        <v>No</v>
      </c>
      <c r="AM67" s="91" t="str">
        <f>$J67</f>
        <v>Yes/No</v>
      </c>
      <c r="AO67" s="90" t="str">
        <f>IF(AJ67="Not Required",0,IF(O67&lt;&gt;"Yes","No",O67))</f>
        <v>No</v>
      </c>
      <c r="AP67" s="91" t="str">
        <f>$J67</f>
        <v>Yes/No</v>
      </c>
      <c r="AQ67" s="87"/>
      <c r="AR67" s="92"/>
      <c r="AS67" s="80" t="s">
        <v>183</v>
      </c>
    </row>
    <row r="68" spans="1:45" ht="3.75" customHeight="1" x14ac:dyDescent="0.2">
      <c r="B68" s="50"/>
      <c r="C68" s="50"/>
      <c r="D68" s="50"/>
      <c r="E68" s="50"/>
      <c r="F68" s="50"/>
      <c r="G68" s="50"/>
      <c r="H68" s="50"/>
      <c r="I68" s="96"/>
      <c r="J68" s="97"/>
      <c r="Q68" s="297"/>
      <c r="R68" s="65"/>
      <c r="S68" s="65"/>
      <c r="Y68" s="48"/>
      <c r="Z68" s="88"/>
      <c r="AA68" s="65"/>
      <c r="AB68" s="65"/>
      <c r="AC68" s="58"/>
      <c r="AH68" s="48"/>
      <c r="AI68" s="67"/>
      <c r="AJ68" s="65"/>
      <c r="AK68" s="65"/>
      <c r="AL68" s="58"/>
      <c r="AQ68" s="48"/>
      <c r="AR68" s="49"/>
      <c r="AS68" s="93"/>
    </row>
    <row r="69" spans="1:45" x14ac:dyDescent="0.2">
      <c r="B69" s="50"/>
      <c r="C69" s="50" t="s">
        <v>165</v>
      </c>
      <c r="D69" s="50"/>
      <c r="E69" s="50"/>
      <c r="F69" s="50"/>
      <c r="G69" s="50"/>
      <c r="H69" s="50"/>
      <c r="I69" s="179">
        <f>IF(UnitsOfMeasure="Metric",ROUND((2000*ExchangeRate/$U$12)/10,0)*10,2000)</f>
        <v>2000</v>
      </c>
      <c r="J69" s="97" t="str">
        <f>IF(UnitsOfMeasure="Metric","€ / m³","$ / 1000 Gallons")</f>
        <v>$ / 1000 Gallons</v>
      </c>
      <c r="K69" s="268">
        <f>I69</f>
        <v>2000</v>
      </c>
      <c r="L69" s="82"/>
      <c r="M69" s="268">
        <f>K69</f>
        <v>2000</v>
      </c>
      <c r="N69" s="82"/>
      <c r="O69" s="268">
        <f>K69</f>
        <v>2000</v>
      </c>
      <c r="P69" s="89"/>
      <c r="Q69" s="298"/>
      <c r="R69" s="84" t="str">
        <f>IF(OR(T$30=$B$13,T$30=$B$14,T$30=$B$15),"Required","Not Required")</f>
        <v>Not Required</v>
      </c>
      <c r="S69" s="89"/>
      <c r="T69" s="90">
        <f>IF(R69="Not Required",0,IF(UnitsOfMeasure="Metric",K69,K69*ExchangeRate/$U$12))</f>
        <v>0</v>
      </c>
      <c r="U69" s="91" t="s">
        <v>160</v>
      </c>
      <c r="V69" s="50"/>
      <c r="W69" s="90">
        <f>IF(R69="Not Required",0,IF(UnitsOfMeasure="Imperial",K69,K69*$U$12/ExchangeRate))</f>
        <v>0</v>
      </c>
      <c r="X69" s="91" t="s">
        <v>161</v>
      </c>
      <c r="Y69" s="87"/>
      <c r="Z69" s="67"/>
      <c r="AA69" s="84" t="str">
        <f>IF(OR(AC$30=$B$13,AC$30=$B$14,AC$30=$B$15),"Required","Not Required")</f>
        <v>Not Required</v>
      </c>
      <c r="AB69" s="89"/>
      <c r="AC69" s="90">
        <f>IF(AA69="Not Required",0,IF(UnitsOfMeasure="Metric",M69,M69*ExchangeRate/$U$12))</f>
        <v>0</v>
      </c>
      <c r="AD69" s="91" t="s">
        <v>160</v>
      </c>
      <c r="AE69" s="50"/>
      <c r="AF69" s="90">
        <f>IF(AA69="Not Required",0,IF(UnitsOfMeasure="Imperial",M69,M69*$U$12/ExchangeRate))</f>
        <v>0</v>
      </c>
      <c r="AG69" s="91" t="s">
        <v>161</v>
      </c>
      <c r="AH69" s="87"/>
      <c r="AI69" s="88"/>
      <c r="AJ69" s="84" t="str">
        <f>IF(OR(AL$30=$B$13,AL$30=$B$14,AL$30=$B$15),"Required","Not Required")</f>
        <v>Not Required</v>
      </c>
      <c r="AK69" s="89"/>
      <c r="AL69" s="90">
        <f>IF(AJ69="Not Required",0,IF(UnitsOfMeasure="Metric",O69,O69*ExchangeRate/$U$12))</f>
        <v>0</v>
      </c>
      <c r="AM69" s="91" t="s">
        <v>160</v>
      </c>
      <c r="AN69" s="50"/>
      <c r="AO69" s="90">
        <f>IF(AJ69="Not Required",0,IF(UnitsOfMeasure="Imperial",O69,O69*$U$12/ExchangeRate))</f>
        <v>0</v>
      </c>
      <c r="AP69" s="91" t="s">
        <v>161</v>
      </c>
      <c r="AQ69" s="87"/>
      <c r="AR69" s="92"/>
      <c r="AS69" s="80" t="s">
        <v>186</v>
      </c>
    </row>
    <row r="70" spans="1:45" ht="3.75" customHeight="1" x14ac:dyDescent="0.2">
      <c r="B70" s="50"/>
      <c r="C70" s="50"/>
      <c r="D70" s="50"/>
      <c r="E70" s="50"/>
      <c r="F70" s="50"/>
      <c r="G70" s="50"/>
      <c r="H70" s="50"/>
      <c r="I70" s="96"/>
      <c r="J70" s="97"/>
      <c r="Q70" s="297"/>
      <c r="R70" s="65"/>
      <c r="S70" s="65"/>
      <c r="Y70" s="48"/>
      <c r="Z70" s="88"/>
      <c r="AA70" s="65"/>
      <c r="AB70" s="65"/>
      <c r="AC70" s="58"/>
      <c r="AH70" s="48"/>
      <c r="AI70" s="67"/>
      <c r="AJ70" s="65"/>
      <c r="AK70" s="65"/>
      <c r="AL70" s="58"/>
      <c r="AQ70" s="48"/>
      <c r="AR70" s="49"/>
      <c r="AS70" s="93"/>
    </row>
    <row r="71" spans="1:45" x14ac:dyDescent="0.2">
      <c r="B71" s="50"/>
      <c r="C71" s="50" t="s">
        <v>166</v>
      </c>
      <c r="D71" s="50"/>
      <c r="E71" s="50"/>
      <c r="F71" s="50"/>
      <c r="G71" s="50"/>
      <c r="H71" s="50"/>
      <c r="I71" s="179">
        <f>IF(UnitsOfMeasure="Metric",ROUND((0.1*ExchangeRate*$U$14/5),2)*5,0.1)</f>
        <v>0.1</v>
      </c>
      <c r="J71" s="97" t="str">
        <f>IF(UnitsOfMeasure="Metric","€ / nm³","$ / SCF")</f>
        <v>$ / SCF</v>
      </c>
      <c r="K71" s="268">
        <f>I71</f>
        <v>0.1</v>
      </c>
      <c r="L71" s="82"/>
      <c r="M71" s="268">
        <f>K71</f>
        <v>0.1</v>
      </c>
      <c r="N71" s="82"/>
      <c r="O71" s="268">
        <f>K71</f>
        <v>0.1</v>
      </c>
      <c r="P71" s="89"/>
      <c r="Q71" s="298"/>
      <c r="R71" s="84" t="str">
        <f>IF(OR(T$30=$B$16,T$30=$B$18,T$30=$B$20,T$30=$B$21,T$30=$B$22),"Required","Not Required")</f>
        <v>Not Required</v>
      </c>
      <c r="S71" s="89"/>
      <c r="T71" s="90">
        <f>IF(R71="Not Required",0,IF(UnitsOfMeasure="Metric",K71,K71*ExchangeRate*$U$14))</f>
        <v>0</v>
      </c>
      <c r="U71" s="91" t="s">
        <v>167</v>
      </c>
      <c r="V71" s="50"/>
      <c r="W71" s="90">
        <f>IF(R71="Not Required",0,IF(UnitsOfMeasure="Imperial",K71,K71/($U$14*ExchangeRate)))</f>
        <v>0</v>
      </c>
      <c r="X71" s="91" t="s">
        <v>172</v>
      </c>
      <c r="Y71" s="87"/>
      <c r="Z71" s="67"/>
      <c r="AA71" s="84" t="str">
        <f>IF(OR(AC$30=$B$16,AC$30=$B$18,AC$30=$B$20,AC$30=$B$21,AC$30=$B$22),"Required","Not Required")</f>
        <v>Not Required</v>
      </c>
      <c r="AB71" s="89"/>
      <c r="AC71" s="90">
        <f>IF(AA71="Not Required",0,IF(UnitsOfMeasure="Metric",M71,M71*ExchangeRate*$U$14))</f>
        <v>0</v>
      </c>
      <c r="AD71" s="91" t="s">
        <v>167</v>
      </c>
      <c r="AE71" s="50"/>
      <c r="AF71" s="90">
        <f>IF(AA71="Not Required",0,IF(UnitsOfMeasure="Imperial",M71,M71/($U$14*ExchangeRate)))</f>
        <v>0</v>
      </c>
      <c r="AG71" s="91" t="s">
        <v>172</v>
      </c>
      <c r="AH71" s="87"/>
      <c r="AI71" s="88"/>
      <c r="AJ71" s="84" t="str">
        <f>IF(OR(AL$30=$B$16,AL$30=$B$18,AL$30=$B$20,AL$30=$B$21,AL$30=$B$22),"Required","Not Required")</f>
        <v>Not Required</v>
      </c>
      <c r="AK71" s="89"/>
      <c r="AL71" s="90">
        <f>IF(AJ71="Not Required",0,IF(UnitsOfMeasure="Metric",O71,O71*ExchangeRate*$U$14))</f>
        <v>0</v>
      </c>
      <c r="AM71" s="91" t="s">
        <v>167</v>
      </c>
      <c r="AN71" s="50"/>
      <c r="AO71" s="90">
        <f>IF(AJ71="Not Required",0,IF(UnitsOfMeasure="Imperial",O71,O71/($U$14*ExchangeRate)))</f>
        <v>0</v>
      </c>
      <c r="AP71" s="91" t="s">
        <v>172</v>
      </c>
      <c r="AQ71" s="87"/>
      <c r="AR71" s="92"/>
      <c r="AS71" s="80" t="s">
        <v>187</v>
      </c>
    </row>
    <row r="72" spans="1:45" ht="3.75" customHeight="1" x14ac:dyDescent="0.2">
      <c r="B72" s="50"/>
      <c r="C72" s="50"/>
      <c r="D72" s="50"/>
      <c r="E72" s="50"/>
      <c r="F72" s="50"/>
      <c r="G72" s="50"/>
      <c r="H72" s="50"/>
      <c r="I72" s="96"/>
      <c r="J72" s="97"/>
      <c r="Q72" s="297"/>
      <c r="R72" s="65"/>
      <c r="S72" s="65"/>
      <c r="Y72" s="48"/>
      <c r="Z72" s="88"/>
      <c r="AA72" s="65"/>
      <c r="AB72" s="65"/>
      <c r="AC72" s="58"/>
      <c r="AH72" s="48"/>
      <c r="AI72" s="67"/>
      <c r="AJ72" s="65"/>
      <c r="AK72" s="65"/>
      <c r="AL72" s="58"/>
      <c r="AQ72" s="48"/>
      <c r="AR72" s="49"/>
      <c r="AS72" s="93"/>
    </row>
    <row r="73" spans="1:45" x14ac:dyDescent="0.2">
      <c r="B73" s="50"/>
      <c r="C73" s="50" t="s">
        <v>168</v>
      </c>
      <c r="D73" s="50"/>
      <c r="E73" s="50"/>
      <c r="F73" s="50"/>
      <c r="G73" s="50"/>
      <c r="H73" s="50"/>
      <c r="I73" s="179">
        <f>IF(UnitsOfMeasure="Metric",ROUND(ExchangeRate/$U$12/5,2)*5,1)</f>
        <v>1</v>
      </c>
      <c r="J73" s="97" t="str">
        <f>IF(UnitsOfMeasure="Metric","€ / Liter","$ / Gallon")</f>
        <v>$ / Gallon</v>
      </c>
      <c r="K73" s="268">
        <f>I73</f>
        <v>1</v>
      </c>
      <c r="L73" s="82"/>
      <c r="M73" s="268">
        <f>K73</f>
        <v>1</v>
      </c>
      <c r="N73" s="82"/>
      <c r="O73" s="268">
        <f>K73</f>
        <v>1</v>
      </c>
      <c r="P73" s="89"/>
      <c r="Q73" s="298"/>
      <c r="R73" s="84" t="str">
        <f>IF(NOT(OR(T$30=$B$14,T$30=$B$15,T$30=$B$22)),"Required","Not Required")</f>
        <v>Required</v>
      </c>
      <c r="S73" s="89"/>
      <c r="T73" s="90">
        <f>IF(R73="Not Required",0,IF(UnitsOfMeasure="Metric",K73,K73*ExchangeRate/$U$12))</f>
        <v>0.19852539090877869</v>
      </c>
      <c r="U73" s="91" t="s">
        <v>174</v>
      </c>
      <c r="V73" s="50"/>
      <c r="W73" s="90">
        <f>IF(R73="Not Required",0,IF(UnitsOfMeasure="Imperial",K73,K73*$U$12/ExchangeRate))</f>
        <v>1</v>
      </c>
      <c r="X73" s="91" t="s">
        <v>173</v>
      </c>
      <c r="Y73" s="87"/>
      <c r="Z73" s="67"/>
      <c r="AA73" s="84" t="str">
        <f>IF(NOT(OR(AC$30=$B$14,AC$30=$B$15,AC$30=$B$22)),"Required","Not Required")</f>
        <v>Required</v>
      </c>
      <c r="AB73" s="89"/>
      <c r="AC73" s="90">
        <f>IF(AA73="Not Required",0,IF(UnitsOfMeasure="Metric",M73,M73*ExchangeRate/$U$12))</f>
        <v>0.19852539090877869</v>
      </c>
      <c r="AD73" s="91" t="s">
        <v>174</v>
      </c>
      <c r="AE73" s="50"/>
      <c r="AF73" s="90">
        <f>IF(AA73="Not Required",0,IF(UnitsOfMeasure="Imperial",M73,M73*$U$12/ExchangeRate))</f>
        <v>1</v>
      </c>
      <c r="AG73" s="91" t="s">
        <v>173</v>
      </c>
      <c r="AH73" s="87"/>
      <c r="AI73" s="88"/>
      <c r="AJ73" s="84" t="str">
        <f>IF(NOT(OR(AL$30=$B$14,AL$30=$B$15,AL$30=$B$22)),"Required","Not Required")</f>
        <v>Required</v>
      </c>
      <c r="AK73" s="89"/>
      <c r="AL73" s="90">
        <f>IF(AJ73="Not Required",0,IF(UnitsOfMeasure="Metric",O73,O73*ExchangeRate/$U$12))</f>
        <v>0.19852539090877869</v>
      </c>
      <c r="AM73" s="91" t="s">
        <v>174</v>
      </c>
      <c r="AN73" s="50"/>
      <c r="AO73" s="90">
        <f>IF(AJ73="Not Required",0,IF(UnitsOfMeasure="Imperial",O73,O73*$U$12/ExchangeRate))</f>
        <v>1</v>
      </c>
      <c r="AP73" s="91" t="s">
        <v>173</v>
      </c>
      <c r="AQ73" s="87"/>
      <c r="AR73" s="92"/>
      <c r="AS73" s="80" t="s">
        <v>188</v>
      </c>
    </row>
    <row r="74" spans="1:45" ht="3.75" customHeight="1" x14ac:dyDescent="0.2">
      <c r="B74" s="50"/>
      <c r="C74" s="50"/>
      <c r="D74" s="50"/>
      <c r="E74" s="50"/>
      <c r="F74" s="50"/>
      <c r="G74" s="50"/>
      <c r="H74" s="50"/>
      <c r="I74" s="96"/>
      <c r="J74" s="97"/>
      <c r="Q74" s="297"/>
      <c r="R74" s="65"/>
      <c r="S74" s="65"/>
      <c r="Y74" s="48"/>
      <c r="Z74" s="88"/>
      <c r="AA74" s="65"/>
      <c r="AB74" s="65"/>
      <c r="AC74" s="58"/>
      <c r="AH74" s="48"/>
      <c r="AI74" s="67"/>
      <c r="AJ74" s="65"/>
      <c r="AK74" s="65"/>
      <c r="AL74" s="58"/>
      <c r="AQ74" s="48"/>
      <c r="AR74" s="49"/>
      <c r="AS74" s="93"/>
    </row>
    <row r="75" spans="1:45" x14ac:dyDescent="0.2">
      <c r="B75" s="50"/>
      <c r="C75" s="50" t="s">
        <v>169</v>
      </c>
      <c r="D75" s="50"/>
      <c r="E75" s="50"/>
      <c r="F75" s="50"/>
      <c r="G75" s="50"/>
      <c r="H75" s="50"/>
      <c r="I75" s="96" t="s">
        <v>261</v>
      </c>
      <c r="J75" s="97" t="str">
        <f>IF(UnitsOfMeasure="Metric","l / hr","Gallons / hr")</f>
        <v>Gallons / hr</v>
      </c>
      <c r="K75" s="125">
        <f>K77</f>
        <v>1.3209999999999999E-3</v>
      </c>
      <c r="L75" s="126"/>
      <c r="M75" s="125">
        <f>M77</f>
        <v>1.3209999999999999E-3</v>
      </c>
      <c r="N75" s="126"/>
      <c r="O75" s="125">
        <f>O77</f>
        <v>1.8492000000000001E-2</v>
      </c>
      <c r="P75" s="89"/>
      <c r="Q75" s="298"/>
      <c r="R75" s="84" t="str">
        <f>IF(NOT(OR(T$30=$B$14,T$30=$B$15,T$30=$B$22)),"Required","Not Required")</f>
        <v>Required</v>
      </c>
      <c r="S75" s="89"/>
      <c r="T75" s="94">
        <f>IF(R75="Not Required",0,IF(UnitsOfMeasure="Metric",K75,K75*$U$13))</f>
        <v>5.0005266100000001E-3</v>
      </c>
      <c r="U75" s="95" t="s">
        <v>176</v>
      </c>
      <c r="V75" s="50"/>
      <c r="W75" s="94">
        <f>IF(R75="Not Required",0,IF(UnitsOfMeasure="Metric",K75/$U$13,K75))</f>
        <v>1.3209999999999999E-3</v>
      </c>
      <c r="X75" s="95" t="s">
        <v>259</v>
      </c>
      <c r="Y75" s="87"/>
      <c r="Z75" s="67"/>
      <c r="AA75" s="84" t="str">
        <f>IF(NOT(OR(AC$30=$B$14,AC$30=$B$15,AC$30=$B$22)),"Required","Not Required")</f>
        <v>Required</v>
      </c>
      <c r="AB75" s="89"/>
      <c r="AC75" s="94">
        <f>IF(AA75="Not Required",0,IF(UnitsOfMeasure="Metric",M75,M75*$U$13))</f>
        <v>5.0005266100000001E-3</v>
      </c>
      <c r="AD75" s="95" t="s">
        <v>176</v>
      </c>
      <c r="AE75" s="50"/>
      <c r="AF75" s="94">
        <f>IF(AA75="Not Required",0,IF(UnitsOfMeasure="Metric",M75/$U$13,M75))</f>
        <v>1.3209999999999999E-3</v>
      </c>
      <c r="AG75" s="95" t="s">
        <v>259</v>
      </c>
      <c r="AH75" s="87"/>
      <c r="AI75" s="88"/>
      <c r="AJ75" s="84" t="str">
        <f>IF(NOT(OR(AL$30=$B$14,AL$30=$B$15,AL$30=$B$22)),"Required","Not Required")</f>
        <v>Required</v>
      </c>
      <c r="AK75" s="89"/>
      <c r="AL75" s="94">
        <f>IF(AJ75="Not Required",0,IF(UnitsOfMeasure="Metric",O75,O75*$U$13))</f>
        <v>6.9999801720000004E-2</v>
      </c>
      <c r="AM75" s="95" t="s">
        <v>176</v>
      </c>
      <c r="AN75" s="50"/>
      <c r="AO75" s="94">
        <f>IF(AJ75="Not Required",0,IF(UnitsOfMeasure="Metric",O75/$U$13,O75))</f>
        <v>1.8492000000000001E-2</v>
      </c>
      <c r="AP75" s="95" t="s">
        <v>259</v>
      </c>
      <c r="AQ75" s="87"/>
      <c r="AR75" s="92"/>
      <c r="AS75" s="293" t="s">
        <v>762</v>
      </c>
    </row>
    <row r="76" spans="1:45" ht="3.75" customHeight="1" x14ac:dyDescent="0.2">
      <c r="B76" s="50"/>
      <c r="C76" s="50"/>
      <c r="D76" s="50"/>
      <c r="E76" s="50"/>
      <c r="F76" s="50"/>
      <c r="G76" s="50"/>
      <c r="H76" s="50"/>
      <c r="I76" s="96"/>
      <c r="J76" s="97"/>
      <c r="K76" s="351"/>
      <c r="L76" s="352"/>
      <c r="M76" s="351"/>
      <c r="N76" s="352"/>
      <c r="O76" s="351"/>
      <c r="Q76" s="297"/>
      <c r="R76" s="65"/>
      <c r="S76" s="65"/>
      <c r="Y76" s="48"/>
      <c r="Z76" s="88"/>
      <c r="AA76" s="65"/>
      <c r="AB76" s="65"/>
      <c r="AC76" s="58"/>
      <c r="AH76" s="48"/>
      <c r="AI76" s="67"/>
      <c r="AJ76" s="65"/>
      <c r="AK76" s="65"/>
      <c r="AL76" s="58"/>
      <c r="AQ76" s="48"/>
      <c r="AR76" s="49"/>
      <c r="AS76" s="93"/>
    </row>
    <row r="77" spans="1:45" ht="14.25" hidden="1" customHeight="1" x14ac:dyDescent="0.2">
      <c r="A77" s="62" t="s">
        <v>263</v>
      </c>
      <c r="B77" s="50"/>
      <c r="C77" s="349" t="s">
        <v>169</v>
      </c>
      <c r="D77" s="346"/>
      <c r="E77" s="346"/>
      <c r="F77" s="346"/>
      <c r="G77" s="346"/>
      <c r="H77" s="346"/>
      <c r="I77" s="348" t="s">
        <v>261</v>
      </c>
      <c r="J77" s="347" t="str">
        <f>IF(UnitsOfMeasure="Metric","l / hr","Gallons / hr")</f>
        <v>Gallons / hr</v>
      </c>
      <c r="K77" s="355">
        <f>IF(UnitsOfMeasure="Metric",T77,W77)</f>
        <v>1.3209999999999999E-3</v>
      </c>
      <c r="L77" s="126"/>
      <c r="M77" s="355">
        <f>IF(UnitsOfMeasure="Metric",AC77,AF77)</f>
        <v>1.3209999999999999E-3</v>
      </c>
      <c r="N77" s="126"/>
      <c r="O77" s="355">
        <f>IF(UnitsOfMeasure="Metric",AL77,AO77)</f>
        <v>1.8492000000000001E-2</v>
      </c>
      <c r="P77" s="89"/>
      <c r="Q77" s="298"/>
      <c r="R77" s="84" t="str">
        <f>IF(NOT(OR(T$30=$B$14,T$30=$B$15,T$30=$B$22)),"Required","Not Required")</f>
        <v>Required</v>
      </c>
      <c r="S77" s="89"/>
      <c r="T77" s="94">
        <f>ROUND(IF(R77="Not Required",0,IF(T$30=$B$23,$AD$7*T$115,$AD$8)*0.001),4)</f>
        <v>5.0000000000000001E-3</v>
      </c>
      <c r="U77" s="95" t="s">
        <v>176</v>
      </c>
      <c r="V77" s="50"/>
      <c r="W77" s="94">
        <f>ROUND(T77/$U$13,6)</f>
        <v>1.3209999999999999E-3</v>
      </c>
      <c r="X77" s="95" t="s">
        <v>259</v>
      </c>
      <c r="Y77" s="87"/>
      <c r="Z77" s="67"/>
      <c r="AA77" s="84" t="str">
        <f>IF(NOT(OR(AC$30=$B$14,AC$30=$B$15,AC$30=$B$22)),"Required","Not Required")</f>
        <v>Required</v>
      </c>
      <c r="AB77" s="89"/>
      <c r="AC77" s="94">
        <f>ROUND(IF(AA77="Not Required",0,IF(AC$30=$B$23,$AD$7*AC$115,$AD$8)*0.001),4)</f>
        <v>5.0000000000000001E-3</v>
      </c>
      <c r="AD77" s="95" t="s">
        <v>176</v>
      </c>
      <c r="AE77" s="50"/>
      <c r="AF77" s="94">
        <f>ROUND(AC77/$U$13,6)</f>
        <v>1.3209999999999999E-3</v>
      </c>
      <c r="AG77" s="95" t="s">
        <v>259</v>
      </c>
      <c r="AH77" s="87"/>
      <c r="AI77" s="88"/>
      <c r="AJ77" s="84" t="str">
        <f>IF(NOT(OR(AL$30=$B$14,AL$30=$B$15,AL$30=$B$22)),"Required","Not Required")</f>
        <v>Required</v>
      </c>
      <c r="AK77" s="89"/>
      <c r="AL77" s="94">
        <f>ROUND(IF(AJ77="Not Required",0,IF(AL$30=$B$23,$AD$7*AL$115,$AD$8)*0.001),4)</f>
        <v>7.0000000000000007E-2</v>
      </c>
      <c r="AM77" s="95" t="s">
        <v>176</v>
      </c>
      <c r="AN77" s="50"/>
      <c r="AO77" s="94">
        <f>ROUND(AL77/$U$13,6)</f>
        <v>1.8492000000000001E-2</v>
      </c>
      <c r="AP77" s="95" t="s">
        <v>259</v>
      </c>
      <c r="AQ77" s="87"/>
      <c r="AR77" s="92"/>
      <c r="AS77" s="80" t="s">
        <v>196</v>
      </c>
    </row>
    <row r="78" spans="1:45" ht="3.75" hidden="1" customHeight="1" x14ac:dyDescent="0.2">
      <c r="A78" s="62"/>
      <c r="B78" s="50"/>
      <c r="C78" s="50"/>
      <c r="D78" s="50"/>
      <c r="E78" s="50"/>
      <c r="F78" s="50"/>
      <c r="G78" s="50"/>
      <c r="H78" s="50"/>
      <c r="I78" s="96"/>
      <c r="J78" s="97"/>
      <c r="Q78" s="297"/>
      <c r="R78" s="65"/>
      <c r="S78" s="65"/>
      <c r="Y78" s="48"/>
      <c r="Z78" s="88"/>
      <c r="AA78" s="65"/>
      <c r="AB78" s="65"/>
      <c r="AC78" s="58"/>
      <c r="AH78" s="48"/>
      <c r="AI78" s="67"/>
      <c r="AJ78" s="65"/>
      <c r="AK78" s="65"/>
      <c r="AL78" s="58"/>
      <c r="AQ78" s="48"/>
      <c r="AR78" s="49"/>
      <c r="AS78" s="93"/>
    </row>
    <row r="79" spans="1:45" x14ac:dyDescent="0.2">
      <c r="B79" s="50"/>
      <c r="C79" s="50" t="s">
        <v>170</v>
      </c>
      <c r="D79" s="50"/>
      <c r="E79" s="50"/>
      <c r="F79" s="50"/>
      <c r="G79" s="50"/>
      <c r="H79" s="50"/>
      <c r="I79" s="179">
        <f>IF(UnitsOfMeasure="Metric",ROUND(0.1*ExchangeRate,2),0.1)</f>
        <v>0.1</v>
      </c>
      <c r="J79" s="97" t="str">
        <f>IF(UnitsOfMeasure="Metric","€ / kWh","$ / kWh")</f>
        <v>$ / kWh</v>
      </c>
      <c r="K79" s="268">
        <f>I79</f>
        <v>0.1</v>
      </c>
      <c r="L79" s="82" t="s">
        <v>132</v>
      </c>
      <c r="M79" s="343">
        <f>K79</f>
        <v>0.1</v>
      </c>
      <c r="N79" s="82" t="s">
        <v>132</v>
      </c>
      <c r="O79" s="343">
        <f>K79</f>
        <v>0.1</v>
      </c>
      <c r="P79" s="89"/>
      <c r="Q79" s="298"/>
      <c r="R79" s="84" t="s">
        <v>272</v>
      </c>
      <c r="S79" s="89"/>
      <c r="T79" s="90">
        <f>IF(R79="Not Required",0,IF(UnitsOfMeasure="Metric",K79,K79*ExchangeRate))</f>
        <v>7.5149999999999995E-2</v>
      </c>
      <c r="U79" s="91" t="s">
        <v>178</v>
      </c>
      <c r="V79" s="50"/>
      <c r="W79" s="90">
        <f>IF(R79="Not Required",0,IF(UnitsOfMeasure="Imperial",K79,K79/ExchangeRate))</f>
        <v>0.1</v>
      </c>
      <c r="X79" s="91" t="s">
        <v>180</v>
      </c>
      <c r="Y79" s="87"/>
      <c r="Z79" s="67"/>
      <c r="AA79" s="84" t="s">
        <v>272</v>
      </c>
      <c r="AB79" s="89"/>
      <c r="AC79" s="90">
        <f>IF(AA79="Not Required",0,IF(UnitsOfMeasure="Metric",M79,M79*ExchangeRate))</f>
        <v>7.5149999999999995E-2</v>
      </c>
      <c r="AD79" s="91" t="s">
        <v>178</v>
      </c>
      <c r="AE79" s="50"/>
      <c r="AF79" s="90">
        <f>IF(AA79="Not Required",0,IF(UnitsOfMeasure="Imperial",M79,M79/ExchangeRate))</f>
        <v>0.1</v>
      </c>
      <c r="AG79" s="91" t="s">
        <v>180</v>
      </c>
      <c r="AH79" s="87"/>
      <c r="AI79" s="88"/>
      <c r="AJ79" s="84" t="s">
        <v>272</v>
      </c>
      <c r="AK79" s="89"/>
      <c r="AL79" s="90">
        <f>IF(AJ79="Not Required",0,IF(UnitsOfMeasure="Metric",O79,O79*ExchangeRate))</f>
        <v>7.5149999999999995E-2</v>
      </c>
      <c r="AM79" s="91" t="s">
        <v>178</v>
      </c>
      <c r="AN79" s="50"/>
      <c r="AO79" s="90">
        <f>IF(AJ79="Not Required",0,IF(UnitsOfMeasure="Imperial",O79,O79/ExchangeRate))</f>
        <v>0.1</v>
      </c>
      <c r="AP79" s="91" t="s">
        <v>180</v>
      </c>
      <c r="AQ79" s="87"/>
      <c r="AR79" s="92"/>
      <c r="AS79" s="80" t="s">
        <v>273</v>
      </c>
    </row>
    <row r="80" spans="1:45" ht="3.75" customHeight="1" x14ac:dyDescent="0.2">
      <c r="B80" s="50"/>
      <c r="C80" s="50"/>
      <c r="D80" s="50"/>
      <c r="E80" s="50"/>
      <c r="F80" s="50"/>
      <c r="G80" s="50"/>
      <c r="H80" s="50"/>
      <c r="I80" s="96"/>
      <c r="J80" s="97"/>
      <c r="Q80" s="297"/>
      <c r="R80" s="65"/>
      <c r="S80" s="65"/>
      <c r="Y80" s="48"/>
      <c r="Z80" s="88"/>
      <c r="AA80" s="65"/>
      <c r="AB80" s="65"/>
      <c r="AC80" s="58"/>
      <c r="AH80" s="48"/>
      <c r="AI80" s="67"/>
      <c r="AJ80" s="65"/>
      <c r="AK80" s="65"/>
      <c r="AL80" s="58"/>
      <c r="AQ80" s="48"/>
      <c r="AR80" s="49"/>
      <c r="AS80" s="93"/>
    </row>
    <row r="81" spans="2:45" x14ac:dyDescent="0.2">
      <c r="B81" s="50"/>
      <c r="C81" s="50" t="s">
        <v>645</v>
      </c>
      <c r="D81" s="50"/>
      <c r="E81" s="50"/>
      <c r="F81" s="50"/>
      <c r="G81" s="50"/>
      <c r="H81" s="50"/>
      <c r="I81" s="179">
        <f>IF(UnitsOfMeasure="Metric",ROUND(1000*ExchangeRate/10,0)*10,1000)</f>
        <v>1000</v>
      </c>
      <c r="J81" s="97" t="str">
        <f>IF(UnitsOfMeasure="Metric","€ / Failure","$ / Failure")</f>
        <v>$ / Failure</v>
      </c>
      <c r="K81" s="268">
        <f>I81</f>
        <v>1000</v>
      </c>
      <c r="L81" s="82" t="s">
        <v>132</v>
      </c>
      <c r="M81" s="343">
        <f>K81</f>
        <v>1000</v>
      </c>
      <c r="N81" s="82" t="s">
        <v>132</v>
      </c>
      <c r="O81" s="343">
        <f>K81</f>
        <v>1000</v>
      </c>
      <c r="P81" s="89"/>
      <c r="Q81" s="298"/>
      <c r="R81" s="84" t="s">
        <v>272</v>
      </c>
      <c r="S81" s="89"/>
      <c r="T81" s="90">
        <f>IF(R81="Not Required",0,IF(UnitsOfMeasure="Metric",K81,K81*ExchangeRate))</f>
        <v>751.5</v>
      </c>
      <c r="U81" s="91" t="s">
        <v>144</v>
      </c>
      <c r="V81" s="50"/>
      <c r="W81" s="90">
        <f>IF(R81="Not Required",0,IF(UnitsOfMeasure="Imperial",K81,K81/ExchangeRate))</f>
        <v>1000</v>
      </c>
      <c r="X81" s="91" t="s">
        <v>145</v>
      </c>
      <c r="Y81" s="87"/>
      <c r="Z81" s="67"/>
      <c r="AA81" s="84" t="s">
        <v>272</v>
      </c>
      <c r="AB81" s="89"/>
      <c r="AC81" s="90">
        <f>IF(AA81="Not Required",0,IF(UnitsOfMeasure="Metric",M81,M81*ExchangeRate))</f>
        <v>751.5</v>
      </c>
      <c r="AD81" s="91" t="s">
        <v>144</v>
      </c>
      <c r="AE81" s="50"/>
      <c r="AF81" s="90">
        <f>IF(AA81="Not Required",0,IF(UnitsOfMeasure="Imperial",M81,M81/ExchangeRate))</f>
        <v>1000</v>
      </c>
      <c r="AG81" s="91" t="s">
        <v>145</v>
      </c>
      <c r="AH81" s="87"/>
      <c r="AI81" s="88"/>
      <c r="AJ81" s="84" t="s">
        <v>272</v>
      </c>
      <c r="AK81" s="89"/>
      <c r="AL81" s="90">
        <f>IF(AJ81="Not Required",0,IF(UnitsOfMeasure="Metric",O81,O81*ExchangeRate))</f>
        <v>751.5</v>
      </c>
      <c r="AM81" s="91" t="s">
        <v>144</v>
      </c>
      <c r="AN81" s="50"/>
      <c r="AO81" s="90">
        <f>IF(AJ81="Not Required",0,IF(UnitsOfMeasure="Imperial",O81,O81/ExchangeRate))</f>
        <v>1000</v>
      </c>
      <c r="AP81" s="91" t="s">
        <v>145</v>
      </c>
      <c r="AQ81" s="87"/>
      <c r="AR81" s="92"/>
      <c r="AS81" s="80" t="s">
        <v>273</v>
      </c>
    </row>
    <row r="82" spans="2:45" ht="3.75" customHeight="1" x14ac:dyDescent="0.2">
      <c r="B82" s="50"/>
      <c r="C82" s="50"/>
      <c r="D82" s="50"/>
      <c r="E82" s="50"/>
      <c r="F82" s="50"/>
      <c r="G82" s="50"/>
      <c r="H82" s="50"/>
      <c r="I82" s="96"/>
      <c r="J82" s="97"/>
      <c r="Q82" s="297"/>
      <c r="R82" s="65"/>
      <c r="S82" s="65"/>
      <c r="Y82" s="48"/>
      <c r="Z82" s="88"/>
      <c r="AA82" s="65"/>
      <c r="AB82" s="65"/>
      <c r="AC82" s="58"/>
      <c r="AH82" s="48"/>
      <c r="AI82" s="67"/>
      <c r="AJ82" s="65"/>
      <c r="AK82" s="65"/>
      <c r="AL82" s="58"/>
      <c r="AQ82" s="48"/>
      <c r="AR82" s="49"/>
      <c r="AS82" s="93"/>
    </row>
    <row r="83" spans="2:45" x14ac:dyDescent="0.2">
      <c r="B83" s="50"/>
      <c r="C83" s="50" t="s">
        <v>646</v>
      </c>
      <c r="D83" s="50"/>
      <c r="E83" s="50"/>
      <c r="F83" s="50"/>
      <c r="G83" s="50"/>
      <c r="H83" s="50"/>
      <c r="I83" s="179">
        <v>0</v>
      </c>
      <c r="J83" s="97" t="str">
        <f>IF(UnitsOfMeasure="Metric","€ / Year","$ / Year")</f>
        <v>$ / Year</v>
      </c>
      <c r="K83" s="268">
        <f>I83</f>
        <v>0</v>
      </c>
      <c r="L83" s="82"/>
      <c r="M83" s="268">
        <f>K83</f>
        <v>0</v>
      </c>
      <c r="N83" s="82"/>
      <c r="O83" s="268">
        <f>K83</f>
        <v>0</v>
      </c>
      <c r="P83" s="89"/>
      <c r="Q83" s="298"/>
      <c r="R83" s="84" t="s">
        <v>272</v>
      </c>
      <c r="S83" s="89"/>
      <c r="T83" s="90">
        <f>IF(R83="Not Required",0,IF(UnitsOfMeasure="Metric",K83,K83*ExchangeRate))</f>
        <v>0</v>
      </c>
      <c r="U83" s="91" t="s">
        <v>179</v>
      </c>
      <c r="V83" s="50"/>
      <c r="W83" s="90">
        <f>IF(R83="Not Required",0,IF(UnitsOfMeasure="Imperial",K83,K83/ExchangeRate))</f>
        <v>0</v>
      </c>
      <c r="X83" s="91" t="s">
        <v>181</v>
      </c>
      <c r="Y83" s="87"/>
      <c r="Z83" s="67"/>
      <c r="AA83" s="84" t="s">
        <v>272</v>
      </c>
      <c r="AB83" s="89"/>
      <c r="AC83" s="90">
        <f>IF(AA83="Not Required",0,IF(UnitsOfMeasure="Metric",M83,M83*ExchangeRate))</f>
        <v>0</v>
      </c>
      <c r="AD83" s="91" t="s">
        <v>179</v>
      </c>
      <c r="AE83" s="50"/>
      <c r="AF83" s="90">
        <f>IF(AA83="Not Required",0,IF(UnitsOfMeasure="Imperial",M83,M83/ExchangeRate))</f>
        <v>0</v>
      </c>
      <c r="AG83" s="91" t="s">
        <v>181</v>
      </c>
      <c r="AH83" s="87"/>
      <c r="AI83" s="88"/>
      <c r="AJ83" s="84" t="s">
        <v>272</v>
      </c>
      <c r="AK83" s="89"/>
      <c r="AL83" s="90">
        <f>IF(AJ83="Not Required",0,IF(UnitsOfMeasure="Metric",O83,O83*ExchangeRate))</f>
        <v>0</v>
      </c>
      <c r="AM83" s="91" t="s">
        <v>179</v>
      </c>
      <c r="AN83" s="50"/>
      <c r="AO83" s="90">
        <f>IF(AJ83="Not Required",0,IF(UnitsOfMeasure="Imperial",O83,O83/ExchangeRate))</f>
        <v>0</v>
      </c>
      <c r="AP83" s="91" t="s">
        <v>181</v>
      </c>
      <c r="AQ83" s="87"/>
      <c r="AR83" s="92"/>
      <c r="AS83" s="80" t="s">
        <v>273</v>
      </c>
    </row>
    <row r="84" spans="2:45" ht="3.75" customHeight="1" x14ac:dyDescent="0.2">
      <c r="B84" s="50"/>
      <c r="C84" s="50"/>
      <c r="D84" s="50"/>
      <c r="E84" s="50"/>
      <c r="F84" s="50"/>
      <c r="G84" s="50"/>
      <c r="H84" s="50"/>
      <c r="I84" s="96"/>
      <c r="J84" s="97"/>
      <c r="Q84" s="297"/>
      <c r="R84" s="65"/>
      <c r="S84" s="65"/>
      <c r="Y84" s="48"/>
      <c r="Z84" s="88"/>
      <c r="AA84" s="65"/>
      <c r="AB84" s="65"/>
      <c r="AC84" s="58"/>
      <c r="AH84" s="48"/>
      <c r="AI84" s="67"/>
      <c r="AJ84" s="65"/>
      <c r="AK84" s="65"/>
      <c r="AL84" s="58"/>
      <c r="AQ84" s="48"/>
      <c r="AR84" s="49"/>
      <c r="AS84" s="93"/>
    </row>
    <row r="85" spans="2:45" x14ac:dyDescent="0.2">
      <c r="B85" s="50"/>
      <c r="C85" s="50" t="s">
        <v>647</v>
      </c>
      <c r="D85" s="50"/>
      <c r="E85" s="50"/>
      <c r="F85" s="50"/>
      <c r="G85" s="50"/>
      <c r="H85" s="50"/>
      <c r="I85" s="179">
        <v>0</v>
      </c>
      <c r="J85" s="97" t="str">
        <f>IF(UnitsOfMeasure="Metric","€ / Year","$ / Year")</f>
        <v>$ / Year</v>
      </c>
      <c r="K85" s="268">
        <f>I85</f>
        <v>0</v>
      </c>
      <c r="L85" s="82"/>
      <c r="M85" s="268">
        <f>K85</f>
        <v>0</v>
      </c>
      <c r="N85" s="82"/>
      <c r="O85" s="268">
        <f>K85</f>
        <v>0</v>
      </c>
      <c r="P85" s="89"/>
      <c r="Q85" s="298"/>
      <c r="R85" s="84" t="s">
        <v>272</v>
      </c>
      <c r="S85" s="89"/>
      <c r="T85" s="90">
        <f>IF(R85="Not Required",0,IF(UnitsOfMeasure="Metric",K85,K85*ExchangeRate))</f>
        <v>0</v>
      </c>
      <c r="U85" s="91" t="s">
        <v>179</v>
      </c>
      <c r="V85" s="50"/>
      <c r="W85" s="90">
        <f>IF(R85="Not Required",0,IF(UnitsOfMeasure="Imperial",K85,K85/ExchangeRate))</f>
        <v>0</v>
      </c>
      <c r="X85" s="91" t="s">
        <v>181</v>
      </c>
      <c r="Y85" s="87"/>
      <c r="Z85" s="67"/>
      <c r="AA85" s="84" t="s">
        <v>272</v>
      </c>
      <c r="AB85" s="89"/>
      <c r="AC85" s="90">
        <f>IF(AA85="Not Required",0,IF(UnitsOfMeasure="Metric",M85,M85*ExchangeRate))</f>
        <v>0</v>
      </c>
      <c r="AD85" s="91" t="s">
        <v>179</v>
      </c>
      <c r="AE85" s="50"/>
      <c r="AF85" s="90">
        <f>IF(AA85="Not Required",0,IF(UnitsOfMeasure="Imperial",M85,M85/ExchangeRate))</f>
        <v>0</v>
      </c>
      <c r="AG85" s="91" t="s">
        <v>181</v>
      </c>
      <c r="AH85" s="87"/>
      <c r="AI85" s="88"/>
      <c r="AJ85" s="84" t="s">
        <v>272</v>
      </c>
      <c r="AK85" s="89"/>
      <c r="AL85" s="90">
        <f>IF(AJ85="Not Required",0,IF(UnitsOfMeasure="Metric",O85,O85*ExchangeRate))</f>
        <v>0</v>
      </c>
      <c r="AM85" s="91" t="s">
        <v>179</v>
      </c>
      <c r="AN85" s="50"/>
      <c r="AO85" s="90">
        <f>IF(AJ85="Not Required",0,IF(UnitsOfMeasure="Imperial",O85,O85/ExchangeRate))</f>
        <v>0</v>
      </c>
      <c r="AP85" s="91" t="s">
        <v>181</v>
      </c>
      <c r="AQ85" s="87"/>
      <c r="AR85" s="92"/>
      <c r="AS85" s="80" t="s">
        <v>273</v>
      </c>
    </row>
    <row r="86" spans="2:45" ht="3.75" customHeight="1" x14ac:dyDescent="0.2">
      <c r="B86" s="50"/>
      <c r="C86" s="50"/>
      <c r="D86" s="50"/>
      <c r="E86" s="50"/>
      <c r="F86" s="50"/>
      <c r="G86" s="50"/>
      <c r="H86" s="50"/>
      <c r="I86" s="96"/>
      <c r="J86" s="97"/>
      <c r="Q86" s="297"/>
      <c r="R86" s="65"/>
      <c r="S86" s="65"/>
      <c r="Y86" s="48"/>
      <c r="Z86" s="88"/>
      <c r="AA86" s="65"/>
      <c r="AB86" s="65"/>
      <c r="AC86" s="58"/>
      <c r="AH86" s="48"/>
      <c r="AI86" s="67"/>
      <c r="AJ86" s="65"/>
      <c r="AK86" s="65"/>
      <c r="AL86" s="58"/>
      <c r="AQ86" s="48"/>
      <c r="AR86" s="49"/>
      <c r="AS86" s="93"/>
    </row>
    <row r="87" spans="2:45" x14ac:dyDescent="0.2">
      <c r="B87" s="50"/>
      <c r="C87" s="50" t="s">
        <v>171</v>
      </c>
      <c r="D87" s="50"/>
      <c r="E87" s="50"/>
      <c r="F87" s="50"/>
      <c r="G87" s="50"/>
      <c r="H87" s="50"/>
      <c r="I87" s="179">
        <f>IF(UnitsOfMeasure="Metric",ROUND(100*ExchangeRate/$U$12/5,2)*5,100)</f>
        <v>100</v>
      </c>
      <c r="J87" s="97" t="str">
        <f>IF(UnitsOfMeasure="Metric","€ / m³","$ / 1000 Gallons")</f>
        <v>$ / 1000 Gallons</v>
      </c>
      <c r="K87" s="268">
        <f>I87</f>
        <v>100</v>
      </c>
      <c r="L87" s="82"/>
      <c r="M87" s="268">
        <f>K87</f>
        <v>100</v>
      </c>
      <c r="N87" s="82"/>
      <c r="O87" s="268">
        <f>K87</f>
        <v>100</v>
      </c>
      <c r="P87" s="89"/>
      <c r="Q87" s="298"/>
      <c r="R87" s="84" t="str">
        <f>IF(OR(T$30=$B$7,T$30=$B$9,T$30=$B$13,T$30=$B$14,T$30=$B$15,T$30=$B$17,T$30=$B$18,T$30=$B$21,T$30=$B$23),"Required","Not Required")</f>
        <v>Not Required</v>
      </c>
      <c r="S87" s="89"/>
      <c r="T87" s="90">
        <f>IF(R87="Not Required",0,IF(UnitsOfMeasure="Metric",K87,K87*ExchangeRate/$U$12))</f>
        <v>0</v>
      </c>
      <c r="U87" s="91" t="s">
        <v>160</v>
      </c>
      <c r="V87" s="50"/>
      <c r="W87" s="90">
        <f>IF(R87="Not Required",0,IF(UnitsOfMeasure="Imperial",K87,K87*$U$12/ExchangeRate))</f>
        <v>0</v>
      </c>
      <c r="X87" s="91" t="s">
        <v>161</v>
      </c>
      <c r="Y87" s="87"/>
      <c r="Z87" s="67"/>
      <c r="AA87" s="84" t="str">
        <f>IF(OR(AC$30=$B$7,AC$30=$B$9,AC$30=$B$13,AC$30=$B$14,AC$30=$B$15,AC$30=$B$17,AC$30=$B$18,AC$30=$B$21,AC$30=$B$23),"Required","Not Required")</f>
        <v>Not Required</v>
      </c>
      <c r="AB87" s="89"/>
      <c r="AC87" s="90">
        <f>IF(AA87="Not Required",0,IF(UnitsOfMeasure="Metric",M87,M87*ExchangeRate/$U$12))</f>
        <v>0</v>
      </c>
      <c r="AD87" s="91" t="s">
        <v>160</v>
      </c>
      <c r="AE87" s="50"/>
      <c r="AF87" s="90">
        <f>IF(AA87="Not Required",0,IF(UnitsOfMeasure="Imperial",M87,M87*$U$12/ExchangeRate))</f>
        <v>0</v>
      </c>
      <c r="AG87" s="91" t="s">
        <v>161</v>
      </c>
      <c r="AH87" s="87"/>
      <c r="AI87" s="88"/>
      <c r="AJ87" s="84" t="str">
        <f>IF(OR(AL$30=$B$7,AL$30=$B$9,AL$30=$B$13,AL$30=$B$14,AL$30=$B$15,AL$30=$B$17,AL$30=$B$18,AL$30=$B$21,AL$30=$B$23),"Required","Not Required")</f>
        <v>Required</v>
      </c>
      <c r="AK87" s="89"/>
      <c r="AL87" s="90">
        <f>IF(AJ87="Not Required",0,IF(UnitsOfMeasure="Metric",O87,O87*ExchangeRate/$U$12))</f>
        <v>19.852539090877869</v>
      </c>
      <c r="AM87" s="91" t="s">
        <v>160</v>
      </c>
      <c r="AN87" s="50"/>
      <c r="AO87" s="90">
        <f>IF(AJ87="Not Required",0,IF(UnitsOfMeasure="Imperial",O87,O87*$U$12/ExchangeRate))</f>
        <v>100</v>
      </c>
      <c r="AP87" s="91" t="s">
        <v>161</v>
      </c>
      <c r="AQ87" s="87"/>
      <c r="AR87" s="92"/>
      <c r="AS87" s="80" t="s">
        <v>274</v>
      </c>
    </row>
    <row r="88" spans="2:45" ht="15" thickBot="1" x14ac:dyDescent="0.25">
      <c r="B88" s="252"/>
      <c r="C88" s="252"/>
      <c r="D88" s="252"/>
      <c r="E88" s="252"/>
      <c r="F88" s="252"/>
      <c r="G88" s="252"/>
      <c r="H88" s="252"/>
      <c r="I88" s="253"/>
      <c r="J88" s="254"/>
      <c r="K88" s="71"/>
      <c r="L88" s="72"/>
      <c r="M88" s="71"/>
      <c r="N88" s="72"/>
      <c r="O88" s="71"/>
      <c r="P88" s="89"/>
      <c r="Q88" s="298"/>
      <c r="R88" s="89"/>
      <c r="S88" s="89"/>
      <c r="Y88" s="87"/>
      <c r="Z88" s="88"/>
      <c r="AA88" s="89"/>
      <c r="AB88" s="89"/>
      <c r="AC88" s="58"/>
      <c r="AH88" s="87"/>
      <c r="AI88" s="88"/>
      <c r="AJ88" s="89"/>
      <c r="AK88" s="89"/>
      <c r="AL88" s="58"/>
      <c r="AQ88" s="87"/>
      <c r="AR88" s="92"/>
      <c r="AS88" s="93"/>
    </row>
    <row r="89" spans="2:45" ht="24.75" customHeight="1" x14ac:dyDescent="0.2">
      <c r="B89" s="255" t="s">
        <v>197</v>
      </c>
      <c r="C89" s="256"/>
      <c r="D89" s="256"/>
      <c r="E89" s="256"/>
      <c r="F89" s="256"/>
      <c r="G89" s="256"/>
      <c r="H89" s="256"/>
      <c r="I89" s="257" t="s">
        <v>129</v>
      </c>
      <c r="J89" s="258" t="s">
        <v>130</v>
      </c>
      <c r="K89" s="77"/>
      <c r="L89" s="78"/>
      <c r="M89" s="77"/>
      <c r="N89" s="79"/>
      <c r="O89" s="77"/>
      <c r="P89" s="89"/>
      <c r="Q89" s="298"/>
      <c r="R89" s="89"/>
      <c r="S89" s="89"/>
      <c r="Y89" s="87"/>
      <c r="Z89" s="88"/>
      <c r="AA89" s="89"/>
      <c r="AB89" s="89"/>
      <c r="AC89" s="58"/>
      <c r="AH89" s="87"/>
      <c r="AI89" s="88"/>
      <c r="AJ89" s="89"/>
      <c r="AK89" s="89"/>
      <c r="AL89" s="58"/>
      <c r="AQ89" s="87"/>
      <c r="AR89" s="92"/>
      <c r="AS89" s="80"/>
    </row>
    <row r="90" spans="2:45" ht="3.75" customHeight="1" x14ac:dyDescent="0.2">
      <c r="B90" s="50"/>
      <c r="C90" s="50"/>
      <c r="D90" s="50"/>
      <c r="E90" s="50"/>
      <c r="F90" s="50"/>
      <c r="G90" s="50"/>
      <c r="H90" s="50"/>
      <c r="I90" s="96"/>
      <c r="J90" s="97"/>
      <c r="P90" s="89"/>
      <c r="Q90" s="298"/>
      <c r="R90" s="89"/>
      <c r="S90" s="89"/>
      <c r="Y90" s="87"/>
      <c r="Z90" s="88"/>
      <c r="AA90" s="89"/>
      <c r="AB90" s="89"/>
      <c r="AC90" s="58"/>
      <c r="AH90" s="87"/>
      <c r="AI90" s="88"/>
      <c r="AJ90" s="89"/>
      <c r="AK90" s="89"/>
      <c r="AL90" s="58"/>
      <c r="AQ90" s="87"/>
      <c r="AR90" s="92"/>
      <c r="AS90" s="81"/>
    </row>
    <row r="91" spans="2:45" x14ac:dyDescent="0.2">
      <c r="B91" s="50"/>
      <c r="C91" s="50" t="s">
        <v>198</v>
      </c>
      <c r="D91" s="50"/>
      <c r="E91" s="50"/>
      <c r="F91" s="50"/>
      <c r="G91" s="50"/>
      <c r="H91" s="50"/>
      <c r="I91" s="96">
        <f>IF(UnitsOfMeasure="Metric",1450,1750)</f>
        <v>1750</v>
      </c>
      <c r="J91" s="97" t="s">
        <v>199</v>
      </c>
      <c r="K91" s="125">
        <f>I91</f>
        <v>1750</v>
      </c>
      <c r="L91" s="126"/>
      <c r="M91" s="125">
        <f>K91</f>
        <v>1750</v>
      </c>
      <c r="N91" s="126"/>
      <c r="O91" s="125">
        <f>K91</f>
        <v>1750</v>
      </c>
      <c r="P91" s="89"/>
      <c r="Q91" s="298"/>
      <c r="R91" s="84" t="str">
        <f>IF(NOT(OR(T$30=$B$23,T$30=$B$24,)),"Required","Not Required")</f>
        <v>Required</v>
      </c>
      <c r="S91" s="89"/>
      <c r="T91" s="90">
        <f>IF(R91="Not Required",0,K91)</f>
        <v>1750</v>
      </c>
      <c r="U91" s="91" t="str">
        <f>$J91</f>
        <v>RPM</v>
      </c>
      <c r="V91" s="50"/>
      <c r="W91" s="90">
        <f>IF(R91="Not Required",0,K91)</f>
        <v>1750</v>
      </c>
      <c r="X91" s="91" t="str">
        <f>$J91</f>
        <v>RPM</v>
      </c>
      <c r="Y91" s="87"/>
      <c r="Z91" s="88"/>
      <c r="AA91" s="84" t="str">
        <f>IF(NOT(OR(AC$30=$B$23,AC$30=$B$24,)),"Required","Not Required")</f>
        <v>Required</v>
      </c>
      <c r="AB91" s="89"/>
      <c r="AC91" s="90">
        <f>IF(AA91="Not Required",0,M91)</f>
        <v>1750</v>
      </c>
      <c r="AD91" s="91" t="str">
        <f>$J91</f>
        <v>RPM</v>
      </c>
      <c r="AE91" s="50"/>
      <c r="AF91" s="90">
        <f>IF(AA91="Not Required",0,M91)</f>
        <v>1750</v>
      </c>
      <c r="AG91" s="91" t="str">
        <f>$J91</f>
        <v>RPM</v>
      </c>
      <c r="AH91" s="87"/>
      <c r="AI91" s="88"/>
      <c r="AJ91" s="84" t="str">
        <f>IF(NOT(OR(AL$30=$B$23,AL$30=$B$24,)),"Required","Not Required")</f>
        <v>Not Required</v>
      </c>
      <c r="AK91" s="89"/>
      <c r="AL91" s="90">
        <f>IF(AJ91="Not Required",0,O91)</f>
        <v>0</v>
      </c>
      <c r="AM91" s="91" t="str">
        <f>$J91</f>
        <v>RPM</v>
      </c>
      <c r="AN91" s="50"/>
      <c r="AO91" s="90">
        <f>IF(AJ91="Not Required",0,O91)</f>
        <v>0</v>
      </c>
      <c r="AP91" s="91" t="str">
        <f>$J91</f>
        <v>RPM</v>
      </c>
      <c r="AQ91" s="87"/>
      <c r="AR91" s="92"/>
      <c r="AS91" s="80" t="s">
        <v>253</v>
      </c>
    </row>
    <row r="92" spans="2:45" ht="3.75" customHeight="1" x14ac:dyDescent="0.2">
      <c r="B92" s="50"/>
      <c r="C92" s="50"/>
      <c r="D92" s="50"/>
      <c r="E92" s="50"/>
      <c r="F92" s="50"/>
      <c r="G92" s="50"/>
      <c r="H92" s="50"/>
      <c r="I92" s="96"/>
      <c r="J92" s="97"/>
      <c r="P92" s="89"/>
      <c r="Q92" s="298"/>
      <c r="R92" s="89"/>
      <c r="S92" s="89"/>
      <c r="Y92" s="87"/>
      <c r="Z92" s="88"/>
      <c r="AA92" s="89"/>
      <c r="AB92" s="89"/>
      <c r="AC92" s="58"/>
      <c r="AH92" s="87"/>
      <c r="AI92" s="88"/>
      <c r="AJ92" s="89"/>
      <c r="AK92" s="89"/>
      <c r="AL92" s="58"/>
      <c r="AQ92" s="87"/>
      <c r="AR92" s="92"/>
      <c r="AS92" s="81"/>
    </row>
    <row r="93" spans="2:45" x14ac:dyDescent="0.2">
      <c r="B93" s="50"/>
      <c r="C93" s="50" t="s">
        <v>200</v>
      </c>
      <c r="D93" s="50"/>
      <c r="E93" s="50"/>
      <c r="F93" s="50"/>
      <c r="G93" s="50"/>
      <c r="H93" s="50"/>
      <c r="I93" s="96">
        <f>IF(UnitsOfMeasure="Metric",50,1.75)</f>
        <v>1.75</v>
      </c>
      <c r="J93" s="97" t="str">
        <f>IF(UnitsOfMeasure="Metric","mm","inch")</f>
        <v>inch</v>
      </c>
      <c r="K93" s="125">
        <f>I93</f>
        <v>1.75</v>
      </c>
      <c r="L93" s="126"/>
      <c r="M93" s="125">
        <f>K93</f>
        <v>1.75</v>
      </c>
      <c r="N93" s="126"/>
      <c r="O93" s="125">
        <f>K93</f>
        <v>1.75</v>
      </c>
      <c r="P93" s="89"/>
      <c r="Q93" s="298"/>
      <c r="R93" s="84" t="str">
        <f>IF(NOT(OR(T$30=$B$23,T$30=$B$24,)),"Required","Not Required")</f>
        <v>Required</v>
      </c>
      <c r="S93" s="89"/>
      <c r="T93" s="90">
        <f>IF(R93="Not Required",0,IF(UnitsOfMeasure="Metric",K93,K93*$U$11))</f>
        <v>44.449999999999996</v>
      </c>
      <c r="U93" s="91" t="s">
        <v>247</v>
      </c>
      <c r="V93" s="50"/>
      <c r="W93" s="90">
        <f>IF(R93="Not Required",0,IF(UnitsOfMeasure="Imperial",K93,K93/$U$11))</f>
        <v>1.75</v>
      </c>
      <c r="X93" s="91" t="s">
        <v>250</v>
      </c>
      <c r="Y93" s="87"/>
      <c r="Z93" s="88"/>
      <c r="AA93" s="84" t="str">
        <f>IF(NOT(OR(AC$30=$B$23,AC$30=$B$24,)),"Required","Not Required")</f>
        <v>Required</v>
      </c>
      <c r="AB93" s="89"/>
      <c r="AC93" s="90">
        <f>IF(AA93="Not Required",0,IF(UnitsOfMeasure="Metric",M93,M93*$U$11))</f>
        <v>44.449999999999996</v>
      </c>
      <c r="AD93" s="91" t="s">
        <v>247</v>
      </c>
      <c r="AE93" s="50"/>
      <c r="AF93" s="90">
        <f>IF(AA93="Not Required",0,IF(UnitsOfMeasure="Imperial",M93,M93/$U$11))</f>
        <v>1.75</v>
      </c>
      <c r="AG93" s="91" t="s">
        <v>250</v>
      </c>
      <c r="AH93" s="87"/>
      <c r="AI93" s="88"/>
      <c r="AJ93" s="84" t="str">
        <f>IF(NOT(OR(AL$30=$B$23,AL$30=$B$24,)),"Required","Not Required")</f>
        <v>Not Required</v>
      </c>
      <c r="AK93" s="89"/>
      <c r="AL93" s="90">
        <f>IF(AJ93="Not Required",0,IF(UnitsOfMeasure="Metric",O93,O93*$U$11))</f>
        <v>0</v>
      </c>
      <c r="AM93" s="91" t="s">
        <v>247</v>
      </c>
      <c r="AN93" s="50"/>
      <c r="AO93" s="90">
        <f>IF(AJ93="Not Required",0,IF(UnitsOfMeasure="Imperial",O93,O93/$U$11))</f>
        <v>0</v>
      </c>
      <c r="AP93" s="91" t="s">
        <v>250</v>
      </c>
      <c r="AQ93" s="87"/>
      <c r="AR93" s="92"/>
      <c r="AS93" s="80" t="s">
        <v>253</v>
      </c>
    </row>
    <row r="94" spans="2:45" ht="3.75" customHeight="1" x14ac:dyDescent="0.2">
      <c r="B94" s="50"/>
      <c r="C94" s="50"/>
      <c r="D94" s="50"/>
      <c r="E94" s="50"/>
      <c r="F94" s="50"/>
      <c r="G94" s="50"/>
      <c r="H94" s="50"/>
      <c r="I94" s="96"/>
      <c r="J94" s="97"/>
      <c r="P94" s="89"/>
      <c r="Q94" s="298"/>
      <c r="R94" s="89"/>
      <c r="S94" s="89"/>
      <c r="Y94" s="87"/>
      <c r="Z94" s="88"/>
      <c r="AA94" s="89"/>
      <c r="AB94" s="89"/>
      <c r="AC94" s="58"/>
      <c r="AH94" s="87"/>
      <c r="AI94" s="88"/>
      <c r="AJ94" s="89"/>
      <c r="AK94" s="89"/>
      <c r="AL94" s="58"/>
      <c r="AQ94" s="87"/>
      <c r="AR94" s="92"/>
      <c r="AS94" s="81"/>
    </row>
    <row r="95" spans="2:45" x14ac:dyDescent="0.2">
      <c r="B95" s="50"/>
      <c r="C95" s="50" t="s">
        <v>201</v>
      </c>
      <c r="D95" s="50"/>
      <c r="E95" s="50"/>
      <c r="F95" s="50"/>
      <c r="G95" s="50"/>
      <c r="H95" s="50"/>
      <c r="I95" s="96">
        <f>IF(UnitsOfMeasure="Metric",3.5,50)</f>
        <v>50</v>
      </c>
      <c r="J95" s="97" t="str">
        <f>IF(UnitsOfMeasure="Metric","barg","psig")</f>
        <v>psig</v>
      </c>
      <c r="K95" s="125">
        <f>I95</f>
        <v>50</v>
      </c>
      <c r="L95" s="126"/>
      <c r="M95" s="125">
        <f>K95</f>
        <v>50</v>
      </c>
      <c r="N95" s="126"/>
      <c r="O95" s="125">
        <f>K95</f>
        <v>50</v>
      </c>
      <c r="P95" s="89"/>
      <c r="Q95" s="298"/>
      <c r="R95" s="84" t="str">
        <f>IF(NOT(OR(T$30=$B$23,T$30=$B$24,)),"Required","Not Required")</f>
        <v>Required</v>
      </c>
      <c r="S95" s="89"/>
      <c r="T95" s="90">
        <f>IF(R95="Not Required",0,IF(UnitsOfMeasure="Metric",K95,K95/$U$16))</f>
        <v>3.4473724127470042</v>
      </c>
      <c r="U95" s="91" t="s">
        <v>248</v>
      </c>
      <c r="V95" s="50"/>
      <c r="W95" s="90">
        <f>IF(R95="Not Required",0,IF(UnitsOfMeasure="Imperial",K95,K95*$U$16))</f>
        <v>50</v>
      </c>
      <c r="X95" s="91" t="s">
        <v>202</v>
      </c>
      <c r="Y95" s="87"/>
      <c r="Z95" s="88"/>
      <c r="AA95" s="84" t="str">
        <f>IF(NOT(OR(AC$30=$B$23,AC$30=$B$24,)),"Required","Not Required")</f>
        <v>Required</v>
      </c>
      <c r="AB95" s="89"/>
      <c r="AC95" s="90">
        <f>IF(AA95="Not Required",0,IF(UnitsOfMeasure="Metric",M95,M95/$U$16))</f>
        <v>3.4473724127470042</v>
      </c>
      <c r="AD95" s="91" t="s">
        <v>248</v>
      </c>
      <c r="AE95" s="50"/>
      <c r="AF95" s="90">
        <f>IF(AA95="Not Required",0,IF(UnitsOfMeasure="Imperial",M95,M95*$U$16))</f>
        <v>50</v>
      </c>
      <c r="AG95" s="91" t="s">
        <v>202</v>
      </c>
      <c r="AH95" s="87"/>
      <c r="AI95" s="88"/>
      <c r="AJ95" s="84" t="str">
        <f>IF(NOT(OR(AL$30=$B$23,AL$30=$B$24,)),"Required","Not Required")</f>
        <v>Not Required</v>
      </c>
      <c r="AK95" s="89"/>
      <c r="AL95" s="90">
        <f>IF(AJ95="Not Required",0,IF(UnitsOfMeasure="Metric",O95,O95/$U$16))</f>
        <v>0</v>
      </c>
      <c r="AM95" s="91" t="s">
        <v>248</v>
      </c>
      <c r="AN95" s="50"/>
      <c r="AO95" s="90">
        <f>IF(AJ95="Not Required",0,IF(UnitsOfMeasure="Imperial",O95,O95*$U$16))</f>
        <v>0</v>
      </c>
      <c r="AP95" s="91" t="s">
        <v>202</v>
      </c>
      <c r="AQ95" s="87"/>
      <c r="AR95" s="92"/>
      <c r="AS95" s="80" t="s">
        <v>253</v>
      </c>
    </row>
    <row r="96" spans="2:45" ht="3.75" customHeight="1" x14ac:dyDescent="0.2">
      <c r="B96" s="50"/>
      <c r="C96" s="50"/>
      <c r="D96" s="50"/>
      <c r="E96" s="50"/>
      <c r="F96" s="50"/>
      <c r="G96" s="50"/>
      <c r="H96" s="50"/>
      <c r="I96" s="96"/>
      <c r="J96" s="97"/>
      <c r="P96" s="89"/>
      <c r="Q96" s="298"/>
      <c r="R96" s="89"/>
      <c r="S96" s="89"/>
      <c r="Y96" s="87"/>
      <c r="Z96" s="88"/>
      <c r="AA96" s="89"/>
      <c r="AB96" s="89"/>
      <c r="AC96" s="58"/>
      <c r="AH96" s="87"/>
      <c r="AI96" s="88"/>
      <c r="AJ96" s="89"/>
      <c r="AK96" s="89"/>
      <c r="AL96" s="58"/>
      <c r="AQ96" s="87"/>
      <c r="AR96" s="92"/>
      <c r="AS96" s="81"/>
    </row>
    <row r="97" spans="1:45" x14ac:dyDescent="0.2">
      <c r="B97" s="50"/>
      <c r="C97" s="50" t="s">
        <v>203</v>
      </c>
      <c r="D97" s="50"/>
      <c r="E97" s="50"/>
      <c r="F97" s="50"/>
      <c r="G97" s="50"/>
      <c r="H97" s="50"/>
      <c r="I97" s="96">
        <f>IF(UnitsOfMeasure="Metric",40,100)</f>
        <v>100</v>
      </c>
      <c r="J97" s="97" t="str">
        <f>IF(UnitsOfMeasure="Metric","°C","°F")</f>
        <v>°F</v>
      </c>
      <c r="K97" s="125">
        <f>I97</f>
        <v>100</v>
      </c>
      <c r="L97" s="126"/>
      <c r="M97" s="125">
        <f>K97</f>
        <v>100</v>
      </c>
      <c r="N97" s="126"/>
      <c r="O97" s="125">
        <f>K97</f>
        <v>100</v>
      </c>
      <c r="P97" s="89"/>
      <c r="Q97" s="298"/>
      <c r="R97" s="84" t="str">
        <f>IF(NOT(OR(T$30=$B$23,T$30=$B$24,)),"Required","Not Required")</f>
        <v>Required</v>
      </c>
      <c r="S97" s="89"/>
      <c r="T97" s="90">
        <f>IF(R97="Not Required",0,IF(UnitsOfMeasure="Metric",K97,(K97-32)*5/9))</f>
        <v>37.777777777777779</v>
      </c>
      <c r="U97" s="91" t="s">
        <v>249</v>
      </c>
      <c r="V97" s="50"/>
      <c r="W97" s="90">
        <f>IF(R97="Not Required",0,IF(UnitsOfMeasure="Imperial",K97,(K97*9/5+32)))</f>
        <v>100</v>
      </c>
      <c r="X97" s="91" t="s">
        <v>204</v>
      </c>
      <c r="Y97" s="87"/>
      <c r="Z97" s="88"/>
      <c r="AA97" s="84" t="str">
        <f>IF(NOT(OR(AC$30=$B$23,AC$30=$B$24,)),"Required","Not Required")</f>
        <v>Required</v>
      </c>
      <c r="AB97" s="89"/>
      <c r="AC97" s="90">
        <f>IF(AA97="Not Required",0,IF(UnitsOfMeasure="Metric",M97,(M97-32)*5/9))</f>
        <v>37.777777777777779</v>
      </c>
      <c r="AD97" s="91" t="s">
        <v>249</v>
      </c>
      <c r="AE97" s="50"/>
      <c r="AF97" s="90">
        <f>IF(AA97="Not Required",0,IF(UnitsOfMeasure="Imperial",M97,(M97*9/5+32)))</f>
        <v>100</v>
      </c>
      <c r="AG97" s="91" t="s">
        <v>204</v>
      </c>
      <c r="AH97" s="87"/>
      <c r="AI97" s="88"/>
      <c r="AJ97" s="84" t="str">
        <f>IF(NOT(OR(AL$30=$B$23,AL$30=$B$24,)),"Required","Not Required")</f>
        <v>Not Required</v>
      </c>
      <c r="AK97" s="89"/>
      <c r="AL97" s="90">
        <f>IF(AJ97="Not Required",0,IF(UnitsOfMeasure="Metric",O97,(O97-32)*5/9))</f>
        <v>0</v>
      </c>
      <c r="AM97" s="91" t="s">
        <v>249</v>
      </c>
      <c r="AN97" s="50"/>
      <c r="AO97" s="90">
        <f>IF(AJ97="Not Required",0,IF(UnitsOfMeasure="Imperial",O97,(O97*9/5+32)))</f>
        <v>0</v>
      </c>
      <c r="AP97" s="91" t="s">
        <v>204</v>
      </c>
      <c r="AQ97" s="87"/>
      <c r="AR97" s="92"/>
      <c r="AS97" s="80" t="s">
        <v>253</v>
      </c>
    </row>
    <row r="98" spans="1:45" ht="3.75" customHeight="1" x14ac:dyDescent="0.2">
      <c r="B98" s="50"/>
      <c r="C98" s="50"/>
      <c r="D98" s="50"/>
      <c r="E98" s="50"/>
      <c r="F98" s="50"/>
      <c r="G98" s="50"/>
      <c r="H98" s="50"/>
      <c r="I98" s="96"/>
      <c r="J98" s="97"/>
      <c r="P98" s="89"/>
      <c r="Q98" s="298"/>
      <c r="R98" s="89"/>
      <c r="S98" s="89"/>
      <c r="Y98" s="87"/>
      <c r="Z98" s="88"/>
      <c r="AA98" s="89"/>
      <c r="AB98" s="89"/>
      <c r="AC98" s="58"/>
      <c r="AH98" s="87"/>
      <c r="AI98" s="88"/>
      <c r="AJ98" s="89"/>
      <c r="AK98" s="89"/>
      <c r="AL98" s="58"/>
      <c r="AQ98" s="87"/>
      <c r="AR98" s="92"/>
      <c r="AS98" s="81"/>
    </row>
    <row r="99" spans="1:45" x14ac:dyDescent="0.2">
      <c r="B99" s="50"/>
      <c r="C99" s="50" t="str">
        <f>IF(UnitsOfMeasure="Metric",CONCATENATE("Seal Initial Cost (Est. €",ROUND(750*ExchangeRate/$U$11/5,0)*5,"/mm Diameter/Face Pair)"),"Seal Initial Cost (Est. $750/Inch Diameter/Face Pair)")</f>
        <v>Seal Initial Cost (Est. $750/Inch Diameter/Face Pair)</v>
      </c>
      <c r="D99" s="50"/>
      <c r="E99" s="50"/>
      <c r="F99" s="50"/>
      <c r="G99" s="50"/>
      <c r="H99" s="50"/>
      <c r="I99" s="96" t="s">
        <v>261</v>
      </c>
      <c r="J99" s="97" t="str">
        <f>IF(UnitsOfMeasure="Metric","€","$")</f>
        <v>$</v>
      </c>
      <c r="K99" s="268">
        <f>K101</f>
        <v>1312.5</v>
      </c>
      <c r="L99" s="353"/>
      <c r="M99" s="268">
        <f>M101</f>
        <v>1312.5</v>
      </c>
      <c r="N99" s="353"/>
      <c r="O99" s="268">
        <f>O101</f>
        <v>0</v>
      </c>
      <c r="P99" s="89"/>
      <c r="Q99" s="298"/>
      <c r="R99" s="84" t="str">
        <f>IF(NOT(OR(T$30=$B$23,T$30=$B$24,)),"Required","Not Required")</f>
        <v>Required</v>
      </c>
      <c r="S99" s="89"/>
      <c r="T99" s="94">
        <f>IF(R99="Not Required",0,IF(UnitsOfMeasure="Metric",K99, K99*ExchangeRate))</f>
        <v>986.34374999999989</v>
      </c>
      <c r="U99" s="95" t="s">
        <v>251</v>
      </c>
      <c r="V99" s="50"/>
      <c r="W99" s="94">
        <f>IF(R99="Not Required",0,IF(UnitsOfMeasure="Metric",K99/ExchangeRate,K99))</f>
        <v>1312.5</v>
      </c>
      <c r="X99" s="95" t="s">
        <v>205</v>
      </c>
      <c r="Y99" s="87"/>
      <c r="Z99" s="88"/>
      <c r="AA99" s="84" t="str">
        <f>IF(NOT(OR(AC$30=$B$23,AC$30=$B$24,)),"Required","Not Required")</f>
        <v>Required</v>
      </c>
      <c r="AB99" s="89"/>
      <c r="AC99" s="94">
        <f>IF(AA99="Not Required",0,IF(UnitsOfMeasure="Metric",M99, M99*ExchangeRate))</f>
        <v>986.34374999999989</v>
      </c>
      <c r="AD99" s="95" t="s">
        <v>251</v>
      </c>
      <c r="AE99" s="50"/>
      <c r="AF99" s="94">
        <f>IF(AA99="Not Required",0,IF(UnitsOfMeasure="Metric",M99/ExchangeRate,M99))</f>
        <v>1312.5</v>
      </c>
      <c r="AG99" s="95" t="s">
        <v>205</v>
      </c>
      <c r="AH99" s="87"/>
      <c r="AI99" s="88"/>
      <c r="AJ99" s="84" t="str">
        <f>IF(NOT(OR(AL$30=$B$23,AL$30=$B$24,)),"Required","Not Required")</f>
        <v>Not Required</v>
      </c>
      <c r="AK99" s="89"/>
      <c r="AL99" s="94">
        <f>IF(AJ99="Not Required",0,IF(UnitsOfMeasure="Metric",O99, O99*ExchangeRate))</f>
        <v>0</v>
      </c>
      <c r="AM99" s="95" t="s">
        <v>251</v>
      </c>
      <c r="AN99" s="50"/>
      <c r="AO99" s="94">
        <f>IF(AJ99="Not Required",0,IF(UnitsOfMeasure="Metric",O99/ExchangeRate,O99))</f>
        <v>0</v>
      </c>
      <c r="AP99" s="95" t="s">
        <v>205</v>
      </c>
      <c r="AQ99" s="87"/>
      <c r="AR99" s="92"/>
      <c r="AS99" s="293" t="s">
        <v>762</v>
      </c>
    </row>
    <row r="100" spans="1:45" ht="3.75" customHeight="1" x14ac:dyDescent="0.2">
      <c r="B100" s="50"/>
      <c r="C100" s="50"/>
      <c r="D100" s="50"/>
      <c r="E100" s="50"/>
      <c r="F100" s="50"/>
      <c r="G100" s="50"/>
      <c r="H100" s="50"/>
      <c r="I100" s="96"/>
      <c r="J100" s="97"/>
      <c r="K100" s="351"/>
      <c r="L100" s="352"/>
      <c r="M100" s="351"/>
      <c r="N100" s="352"/>
      <c r="O100" s="351"/>
      <c r="P100" s="89"/>
      <c r="Q100" s="298"/>
      <c r="R100" s="89"/>
      <c r="S100" s="89"/>
      <c r="Y100" s="87"/>
      <c r="Z100" s="88"/>
      <c r="AA100" s="89"/>
      <c r="AB100" s="89"/>
      <c r="AC100" s="58"/>
      <c r="AH100" s="87"/>
      <c r="AI100" s="88"/>
      <c r="AJ100" s="89"/>
      <c r="AK100" s="89"/>
      <c r="AL100" s="58"/>
      <c r="AQ100" s="87"/>
      <c r="AR100" s="92"/>
      <c r="AS100" s="81"/>
    </row>
    <row r="101" spans="1:45" ht="14.25" hidden="1" customHeight="1" x14ac:dyDescent="0.2">
      <c r="A101" s="62" t="s">
        <v>263</v>
      </c>
      <c r="B101" s="50"/>
      <c r="C101" s="349" t="str">
        <f>IF(UnitsOfMeasure="Metric",CONCATENATE("Seal Initial Cost (Est. €",ROUND(750*ExchangeRate/$U$11/5,0)*5,"/mm Diameter/Face Pair)"),"Seal Initial Cost (Est. $750/Inch Diameter/Face Pair)")</f>
        <v>Seal Initial Cost (Est. $750/Inch Diameter/Face Pair)</v>
      </c>
      <c r="D101" s="346"/>
      <c r="E101" s="346"/>
      <c r="F101" s="346"/>
      <c r="G101" s="346"/>
      <c r="H101" s="346"/>
      <c r="I101" s="348" t="s">
        <v>261</v>
      </c>
      <c r="J101" s="347" t="str">
        <f>IF(UnitsOfMeasure="Metric","€","$")</f>
        <v>$</v>
      </c>
      <c r="K101" s="356">
        <f>IF(UnitsOfMeasure="Metric",T101,W101)</f>
        <v>1312.5</v>
      </c>
      <c r="L101" s="353"/>
      <c r="M101" s="356">
        <f>IF(UnitsOfMeasure="Metric",AC101,AF101)</f>
        <v>1312.5</v>
      </c>
      <c r="N101" s="353"/>
      <c r="O101" s="356">
        <f>IF(UnitsOfMeasure="Metric",AL101,AO101)</f>
        <v>0</v>
      </c>
      <c r="P101" s="89"/>
      <c r="Q101" s="298"/>
      <c r="R101" s="84" t="str">
        <f>IF(NOT(OR(T$30=$B$23,T$30=$B$24,)),"Required","Not Required")</f>
        <v>Required</v>
      </c>
      <c r="S101" s="89"/>
      <c r="T101" s="94">
        <f>IF(R101="Not Required",0,IF(OR(T$30=$B$13,T$30=$B$14,T$30=$B$15,T$30=$B$16,T$30=$B$17,T$30=$B$18,T$30=$B$19,T$30=$B$20,T$30=$B$21,T$30=$B$22),2,1)*T93*IF(UnitsOfMeasure="Metric",ROUND(750*ExchangeRate/$U$11/5,0)*5,750*ExchangeRate/$U$11))</f>
        <v>986.34375</v>
      </c>
      <c r="U101" s="95" t="s">
        <v>251</v>
      </c>
      <c r="V101" s="50"/>
      <c r="W101" s="94">
        <f>IF(R101="Not Required",0,IF(OR(T$30=$B$13,T$30=$B$14,T$30=$B$15,T$30=$B$16,T$30=$B$17,T$30=$B$18,T$30=$B$19,T$30=$B$20,T$30=$B$21,T$30=$B$22),2,1)*W93*IF(UnitsOfMeasure="Imperial",750,($U$11*ROUND(750*ExchangeRate/$U$11/5,0)*5)/ExchangeRate))</f>
        <v>1312.5</v>
      </c>
      <c r="X101" s="95" t="s">
        <v>205</v>
      </c>
      <c r="Y101" s="87"/>
      <c r="Z101" s="88"/>
      <c r="AA101" s="84" t="str">
        <f>IF(NOT(OR(AC$30=$B$23,AC$30=$B$24,)),"Required","Not Required")</f>
        <v>Required</v>
      </c>
      <c r="AB101" s="89"/>
      <c r="AC101" s="94">
        <f>IF(AA101="Not Required",0,IF(OR(AC$30=$B$13,AC$30=$B$14,AC$30=$B$15,AC$30=$B$16,AC$30=$B$17,AC$30=$B$18,AC$30=$B$19,AC$30=$B$20,AC$30=$B$21,AC$30=$B$22),2,1)*AC93*IF(UnitsOfMeasure="Metric",ROUND(750*ExchangeRate/$U$11/5,0)*5,750*ExchangeRate/$U$11))</f>
        <v>986.34375</v>
      </c>
      <c r="AD101" s="95" t="s">
        <v>251</v>
      </c>
      <c r="AE101" s="50"/>
      <c r="AF101" s="94">
        <f>IF(AA101="Not Required",0,IF(OR(AC$30=$B$13,AC$30=$B$14,AC$30=$B$15,AC$30=$B$16,AC$30=$B$17,AC$30=$B$18,AC$30=$B$19,AC$30=$B$20,AC$30=$B$21,AC$30=$B$22),2,1)*AF93*IF(UnitsOfMeasure="Imperial",750,($U$11*ROUND(750*ExchangeRate/$U$11/5,0)*5)/ExchangeRate))</f>
        <v>1312.5</v>
      </c>
      <c r="AG101" s="95" t="s">
        <v>205</v>
      </c>
      <c r="AH101" s="87"/>
      <c r="AI101" s="88"/>
      <c r="AJ101" s="84" t="str">
        <f>IF(NOT(OR(AL$30=$B$23,AL$30=$B$24,)),"Required","Not Required")</f>
        <v>Not Required</v>
      </c>
      <c r="AK101" s="89"/>
      <c r="AL101" s="94">
        <f>IF(AJ101="Not Required",0,IF(OR(AL$30=$B$13,AL$30=$B$14,AL$30=$B$15,AL$30=$B$16,AL$30=$B$17,AL$30=$B$18,AL$30=$B$19,AL$30=$B$20,AL$30=$B$21,AL$30=$B$22),2,1)*AL93*IF(UnitsOfMeasure="Metric",ROUND(750*ExchangeRate/$U$11/5,0)*5,750*ExchangeRate/$U$11))</f>
        <v>0</v>
      </c>
      <c r="AM101" s="95" t="s">
        <v>251</v>
      </c>
      <c r="AN101" s="50"/>
      <c r="AO101" s="94">
        <f>IF(AJ101="Not Required",0,IF(OR(AL$30=$B$13,AL$30=$B$14,AL$30=$B$15,AL$30=$B$16,AL$30=$B$17,AL$30=$B$18,AL$30=$B$19,AL$30=$B$20,AL$30=$B$21,AL$30=$B$22),2,1)*AO93*IF(UnitsOfMeasure="Imperial",750,($U$11*ROUND(750*ExchangeRate/$U$11/5,0)*5)/ExchangeRate))</f>
        <v>0</v>
      </c>
      <c r="AP101" s="95" t="s">
        <v>205</v>
      </c>
      <c r="AQ101" s="87"/>
      <c r="AR101" s="92"/>
      <c r="AS101" s="80" t="s">
        <v>253</v>
      </c>
    </row>
    <row r="102" spans="1:45" ht="3.75" hidden="1" customHeight="1" x14ac:dyDescent="0.2">
      <c r="A102" s="62"/>
      <c r="B102" s="50"/>
      <c r="C102" s="50"/>
      <c r="D102" s="50"/>
      <c r="E102" s="50"/>
      <c r="F102" s="50"/>
      <c r="G102" s="50"/>
      <c r="H102" s="50"/>
      <c r="I102" s="96"/>
      <c r="J102" s="97"/>
      <c r="P102" s="89"/>
      <c r="Q102" s="298"/>
      <c r="R102" s="89"/>
      <c r="S102" s="89"/>
      <c r="Y102" s="87"/>
      <c r="Z102" s="88"/>
      <c r="AA102" s="89"/>
      <c r="AB102" s="89"/>
      <c r="AC102" s="58"/>
      <c r="AH102" s="87"/>
      <c r="AI102" s="88"/>
      <c r="AJ102" s="89"/>
      <c r="AK102" s="89"/>
      <c r="AL102" s="58"/>
      <c r="AQ102" s="87"/>
      <c r="AR102" s="92"/>
      <c r="AS102" s="81"/>
    </row>
    <row r="103" spans="1:45" x14ac:dyDescent="0.2">
      <c r="B103" s="50"/>
      <c r="C103" s="50" t="s">
        <v>206</v>
      </c>
      <c r="D103" s="50"/>
      <c r="E103" s="50"/>
      <c r="F103" s="50"/>
      <c r="G103" s="50"/>
      <c r="H103" s="50"/>
      <c r="I103" s="96">
        <v>0</v>
      </c>
      <c r="J103" s="97" t="str">
        <f>IF(UnitsOfMeasure="Metric","€ per machine","$ per machine")</f>
        <v>$ per machine</v>
      </c>
      <c r="K103" s="268">
        <f>I103</f>
        <v>0</v>
      </c>
      <c r="L103" s="82"/>
      <c r="M103" s="268">
        <f>K103</f>
        <v>0</v>
      </c>
      <c r="N103" s="82"/>
      <c r="O103" s="268">
        <f>K103</f>
        <v>0</v>
      </c>
      <c r="P103" s="89"/>
      <c r="Q103" s="298"/>
      <c r="R103" s="84" t="str">
        <f>IF(NOT(OR(T$30=$B$23,T$30=$B$24,)),"Required","Not Required")</f>
        <v>Required</v>
      </c>
      <c r="S103" s="89"/>
      <c r="T103" s="90">
        <f>IF(R103="Not Required",0,IF(UnitsOfMeasure="Metric",K103,K103*ExchangeRate))</f>
        <v>0</v>
      </c>
      <c r="U103" s="91" t="s">
        <v>251</v>
      </c>
      <c r="V103" s="50"/>
      <c r="W103" s="90">
        <f>IF(R103="Not Required",0,IF(UnitsOfMeasure="Imperial",K103,K103/ExchangeRate))</f>
        <v>0</v>
      </c>
      <c r="X103" s="91" t="s">
        <v>205</v>
      </c>
      <c r="Y103" s="87"/>
      <c r="Z103" s="88"/>
      <c r="AA103" s="84" t="str">
        <f>IF(NOT(OR(AC$30=$B$23,AC$30=$B$24,)),"Required","Not Required")</f>
        <v>Required</v>
      </c>
      <c r="AB103" s="89"/>
      <c r="AC103" s="90">
        <f>IF(AA103="Not Required",0,IF(UnitsOfMeasure="Metric",M103,M103*ExchangeRate))</f>
        <v>0</v>
      </c>
      <c r="AD103" s="91" t="s">
        <v>251</v>
      </c>
      <c r="AE103" s="50"/>
      <c r="AF103" s="90">
        <f>IF(AA103="Not Required",0,IF(UnitsOfMeasure="Imperial",M103,M103/ExchangeRate))</f>
        <v>0</v>
      </c>
      <c r="AG103" s="91" t="s">
        <v>205</v>
      </c>
      <c r="AH103" s="87"/>
      <c r="AI103" s="88"/>
      <c r="AJ103" s="84" t="str">
        <f>IF(NOT(OR(AL$30=$B$23,AL$30=$B$24,)),"Required","Not Required")</f>
        <v>Not Required</v>
      </c>
      <c r="AK103" s="89"/>
      <c r="AL103" s="90">
        <f>IF(AJ103="Not Required",0,IF(UnitsOfMeasure="Metric",O103,O103*ExchangeRate))</f>
        <v>0</v>
      </c>
      <c r="AM103" s="91" t="s">
        <v>251</v>
      </c>
      <c r="AN103" s="50"/>
      <c r="AO103" s="90">
        <f>IF(AJ103="Not Required",0,IF(UnitsOfMeasure="Imperial",O103,O103/ExchangeRate))</f>
        <v>0</v>
      </c>
      <c r="AP103" s="91" t="s">
        <v>205</v>
      </c>
      <c r="AQ103" s="87"/>
      <c r="AR103" s="92"/>
      <c r="AS103" s="80" t="s">
        <v>253</v>
      </c>
    </row>
    <row r="104" spans="1:45" ht="3.75" customHeight="1" x14ac:dyDescent="0.2">
      <c r="B104" s="50"/>
      <c r="C104" s="50"/>
      <c r="D104" s="50"/>
      <c r="E104" s="50"/>
      <c r="F104" s="50"/>
      <c r="G104" s="50"/>
      <c r="H104" s="50"/>
      <c r="I104" s="96"/>
      <c r="J104" s="97"/>
      <c r="P104" s="89"/>
      <c r="Q104" s="298"/>
      <c r="R104" s="89"/>
      <c r="S104" s="89"/>
      <c r="Y104" s="87"/>
      <c r="Z104" s="88"/>
      <c r="AA104" s="89"/>
      <c r="AB104" s="89"/>
      <c r="AC104" s="58"/>
      <c r="AH104" s="87"/>
      <c r="AI104" s="88"/>
      <c r="AJ104" s="89"/>
      <c r="AK104" s="89"/>
      <c r="AL104" s="58"/>
      <c r="AQ104" s="87"/>
      <c r="AR104" s="92"/>
      <c r="AS104" s="81"/>
    </row>
    <row r="105" spans="1:45" x14ac:dyDescent="0.2">
      <c r="B105" s="50"/>
      <c r="C105" s="50" t="s">
        <v>207</v>
      </c>
      <c r="D105" s="50"/>
      <c r="E105" s="50"/>
      <c r="F105" s="50"/>
      <c r="G105" s="50"/>
      <c r="H105" s="50"/>
      <c r="I105" s="96">
        <v>36</v>
      </c>
      <c r="J105" s="97" t="s">
        <v>208</v>
      </c>
      <c r="K105" s="125">
        <f>I105</f>
        <v>36</v>
      </c>
      <c r="L105" s="126"/>
      <c r="M105" s="125">
        <f>K105</f>
        <v>36</v>
      </c>
      <c r="N105" s="126"/>
      <c r="O105" s="125">
        <f>K105</f>
        <v>36</v>
      </c>
      <c r="P105" s="89"/>
      <c r="Q105" s="298"/>
      <c r="R105" s="84" t="str">
        <f>IF(NOT(OR(T$30=$B$23,T$30=$B$24,)),"Required","Not Required")</f>
        <v>Required</v>
      </c>
      <c r="S105" s="89"/>
      <c r="T105" s="90">
        <f>IF(R105="Not Required",0,K105)</f>
        <v>36</v>
      </c>
      <c r="U105" s="91" t="s">
        <v>252</v>
      </c>
      <c r="V105" s="50"/>
      <c r="W105" s="90">
        <f>IF(R105="Not Required",0,K105)</f>
        <v>36</v>
      </c>
      <c r="X105" s="91" t="s">
        <v>252</v>
      </c>
      <c r="Y105" s="87"/>
      <c r="Z105" s="88"/>
      <c r="AA105" s="84" t="str">
        <f>IF(NOT(OR(AC$30=$B$23,AC$30=$B$24,)),"Required","Not Required")</f>
        <v>Required</v>
      </c>
      <c r="AB105" s="89"/>
      <c r="AC105" s="90">
        <f>IF(AA105="Not Required",0,M105)</f>
        <v>36</v>
      </c>
      <c r="AD105" s="91" t="s">
        <v>252</v>
      </c>
      <c r="AE105" s="50"/>
      <c r="AF105" s="90">
        <f>IF(AA105="Not Required",0,M105)</f>
        <v>36</v>
      </c>
      <c r="AG105" s="91" t="s">
        <v>252</v>
      </c>
      <c r="AH105" s="87"/>
      <c r="AI105" s="88"/>
      <c r="AJ105" s="84" t="str">
        <f>IF(NOT(OR(AL$30=$B$23,AL$30=$B$24,)),"Required","Not Required")</f>
        <v>Not Required</v>
      </c>
      <c r="AK105" s="89"/>
      <c r="AL105" s="90">
        <f>IF(AJ105="Not Required",0,O105)</f>
        <v>0</v>
      </c>
      <c r="AM105" s="91" t="s">
        <v>252</v>
      </c>
      <c r="AN105" s="50"/>
      <c r="AO105" s="90">
        <f>IF(AJ105="Not Required",0,O105)</f>
        <v>0</v>
      </c>
      <c r="AP105" s="91" t="s">
        <v>252</v>
      </c>
      <c r="AQ105" s="87"/>
      <c r="AR105" s="92"/>
      <c r="AS105" s="80" t="s">
        <v>253</v>
      </c>
    </row>
    <row r="106" spans="1:45" ht="3.75" customHeight="1" x14ac:dyDescent="0.2">
      <c r="B106" s="50"/>
      <c r="C106" s="50"/>
      <c r="D106" s="50"/>
      <c r="E106" s="50"/>
      <c r="F106" s="50"/>
      <c r="G106" s="50"/>
      <c r="H106" s="50"/>
      <c r="I106" s="96"/>
      <c r="J106" s="97"/>
      <c r="P106" s="89"/>
      <c r="Q106" s="298"/>
      <c r="R106" s="89"/>
      <c r="S106" s="89"/>
      <c r="Y106" s="87"/>
      <c r="Z106" s="88"/>
      <c r="AA106" s="89"/>
      <c r="AB106" s="89"/>
      <c r="AC106" s="58"/>
      <c r="AH106" s="87"/>
      <c r="AI106" s="88"/>
      <c r="AJ106" s="89"/>
      <c r="AK106" s="89"/>
      <c r="AL106" s="58"/>
      <c r="AQ106" s="87"/>
      <c r="AR106" s="92"/>
      <c r="AS106" s="81"/>
    </row>
    <row r="107" spans="1:45" x14ac:dyDescent="0.2">
      <c r="B107" s="50"/>
      <c r="C107" s="50" t="s">
        <v>209</v>
      </c>
      <c r="D107" s="50"/>
      <c r="E107" s="50"/>
      <c r="F107" s="50"/>
      <c r="G107" s="50"/>
      <c r="H107" s="50"/>
      <c r="I107" s="98">
        <v>0.5</v>
      </c>
      <c r="J107" s="97" t="s">
        <v>210</v>
      </c>
      <c r="K107" s="127">
        <f>I107</f>
        <v>0.5</v>
      </c>
      <c r="L107" s="126"/>
      <c r="M107" s="127">
        <f>K107</f>
        <v>0.5</v>
      </c>
      <c r="N107" s="126"/>
      <c r="O107" s="127">
        <f>K107</f>
        <v>0.5</v>
      </c>
      <c r="P107" s="89"/>
      <c r="Q107" s="298"/>
      <c r="R107" s="84" t="str">
        <f>IF(NOT(OR(T$30=$B$23,T$30=$B$24,)),"Required","Not Required")</f>
        <v>Required</v>
      </c>
      <c r="S107" s="89"/>
      <c r="T107" s="99">
        <f>IF(R107="Not Required",0,K107)</f>
        <v>0.5</v>
      </c>
      <c r="U107" s="91" t="s">
        <v>224</v>
      </c>
      <c r="V107" s="50"/>
      <c r="W107" s="99">
        <f>IF(R107="Not Required",0,K107)</f>
        <v>0.5</v>
      </c>
      <c r="X107" s="91" t="s">
        <v>224</v>
      </c>
      <c r="Y107" s="87"/>
      <c r="Z107" s="88"/>
      <c r="AA107" s="84" t="str">
        <f>IF(NOT(OR(AC$30=$B$23,AC$30=$B$24,)),"Required","Not Required")</f>
        <v>Required</v>
      </c>
      <c r="AB107" s="89"/>
      <c r="AC107" s="99">
        <f>IF(AA107="Not Required",0,M107)</f>
        <v>0.5</v>
      </c>
      <c r="AD107" s="91" t="s">
        <v>224</v>
      </c>
      <c r="AE107" s="50"/>
      <c r="AF107" s="99">
        <f>IF(AA107="Not Required",0,M107)</f>
        <v>0.5</v>
      </c>
      <c r="AG107" s="91" t="s">
        <v>224</v>
      </c>
      <c r="AH107" s="87"/>
      <c r="AI107" s="88"/>
      <c r="AJ107" s="84" t="str">
        <f>IF(NOT(OR(AL$30=$B$23,AL$30=$B$24,)),"Required","Not Required")</f>
        <v>Not Required</v>
      </c>
      <c r="AK107" s="89"/>
      <c r="AL107" s="99">
        <f>IF(AJ107="Not Required",0,O107)</f>
        <v>0</v>
      </c>
      <c r="AM107" s="91" t="s">
        <v>224</v>
      </c>
      <c r="AN107" s="50"/>
      <c r="AO107" s="99">
        <f>IF(AJ107="Not Required",0,O107)</f>
        <v>0</v>
      </c>
      <c r="AP107" s="91" t="s">
        <v>224</v>
      </c>
      <c r="AQ107" s="87"/>
      <c r="AR107" s="92"/>
      <c r="AS107" s="80" t="s">
        <v>253</v>
      </c>
    </row>
    <row r="108" spans="1:45" ht="3.75" customHeight="1" x14ac:dyDescent="0.2">
      <c r="B108" s="50"/>
      <c r="C108" s="50"/>
      <c r="D108" s="50"/>
      <c r="E108" s="50"/>
      <c r="F108" s="50"/>
      <c r="G108" s="50"/>
      <c r="H108" s="50"/>
      <c r="I108" s="96"/>
      <c r="J108" s="97"/>
      <c r="P108" s="89"/>
      <c r="Q108" s="298"/>
      <c r="R108" s="89"/>
      <c r="S108" s="89"/>
      <c r="Y108" s="87"/>
      <c r="Z108" s="88"/>
      <c r="AA108" s="89"/>
      <c r="AB108" s="89"/>
      <c r="AC108" s="58"/>
      <c r="AH108" s="87"/>
      <c r="AI108" s="88"/>
      <c r="AJ108" s="89"/>
      <c r="AK108" s="89"/>
      <c r="AL108" s="58"/>
      <c r="AQ108" s="87"/>
      <c r="AR108" s="92"/>
      <c r="AS108" s="81"/>
    </row>
    <row r="109" spans="1:45" x14ac:dyDescent="0.2">
      <c r="B109" s="50"/>
      <c r="C109" s="50" t="s">
        <v>211</v>
      </c>
      <c r="D109" s="50"/>
      <c r="E109" s="50"/>
      <c r="F109" s="50"/>
      <c r="G109" s="50"/>
      <c r="H109" s="50"/>
      <c r="I109" s="179">
        <v>0</v>
      </c>
      <c r="J109" s="97" t="str">
        <f>IF(UnitsOfMeasure="Metric","€ per seal","$ per seal")</f>
        <v>$ per seal</v>
      </c>
      <c r="K109" s="268">
        <f>I109</f>
        <v>0</v>
      </c>
      <c r="L109" s="82"/>
      <c r="M109" s="268">
        <f>K109</f>
        <v>0</v>
      </c>
      <c r="N109" s="82"/>
      <c r="O109" s="268">
        <f>K109</f>
        <v>0</v>
      </c>
      <c r="P109" s="89"/>
      <c r="Q109" s="298"/>
      <c r="R109" s="84" t="str">
        <f>IF(NOT(OR(T$30=$B$23,T$30=$B$24,)),"Required","Not Required")</f>
        <v>Required</v>
      </c>
      <c r="S109" s="89"/>
      <c r="T109" s="90">
        <f>IF(R109="Not Required",0,IF(UnitsOfMeasure="Metric",K109,K109*ExchangeRate))</f>
        <v>0</v>
      </c>
      <c r="U109" s="91" t="s">
        <v>251</v>
      </c>
      <c r="V109" s="50"/>
      <c r="W109" s="90">
        <f>IF(R109="Not Required",0,IF(UnitsOfMeasure="Imperial",K109,K109/ExchangeRate))</f>
        <v>0</v>
      </c>
      <c r="X109" s="91" t="s">
        <v>205</v>
      </c>
      <c r="Y109" s="87"/>
      <c r="Z109" s="88"/>
      <c r="AA109" s="84" t="str">
        <f>IF(NOT(OR(AC$30=$B$23,AC$30=$B$24,)),"Required","Not Required")</f>
        <v>Required</v>
      </c>
      <c r="AB109" s="89"/>
      <c r="AC109" s="90">
        <f>IF(AA109="Not Required",0,IF(UnitsOfMeasure="Metric",M109,M109*ExchangeRate))</f>
        <v>0</v>
      </c>
      <c r="AD109" s="91" t="s">
        <v>251</v>
      </c>
      <c r="AE109" s="50"/>
      <c r="AF109" s="90">
        <f>IF(AA109="Not Required",0,IF(UnitsOfMeasure="Imperial",M109,M109/ExchangeRate))</f>
        <v>0</v>
      </c>
      <c r="AG109" s="91" t="s">
        <v>205</v>
      </c>
      <c r="AH109" s="87"/>
      <c r="AI109" s="88"/>
      <c r="AJ109" s="84" t="str">
        <f>IF(NOT(OR(AL$30=$B$23,AL$30=$B$24,)),"Required","Not Required")</f>
        <v>Not Required</v>
      </c>
      <c r="AK109" s="89"/>
      <c r="AL109" s="90">
        <f>IF(AJ109="Not Required",0,IF(UnitsOfMeasure="Metric",O109,O109*ExchangeRate))</f>
        <v>0</v>
      </c>
      <c r="AM109" s="91" t="s">
        <v>251</v>
      </c>
      <c r="AN109" s="50"/>
      <c r="AO109" s="90">
        <f>IF(AJ109="Not Required",0,IF(UnitsOfMeasure="Imperial",O109,O109/ExchangeRate))</f>
        <v>0</v>
      </c>
      <c r="AP109" s="91" t="s">
        <v>205</v>
      </c>
      <c r="AQ109" s="87"/>
      <c r="AR109" s="92"/>
      <c r="AS109" s="80" t="s">
        <v>253</v>
      </c>
    </row>
    <row r="110" spans="1:45" ht="15" thickBot="1" x14ac:dyDescent="0.25">
      <c r="B110" s="252"/>
      <c r="C110" s="252"/>
      <c r="D110" s="252"/>
      <c r="E110" s="252"/>
      <c r="F110" s="252"/>
      <c r="G110" s="252"/>
      <c r="H110" s="252"/>
      <c r="I110" s="253"/>
      <c r="J110" s="254"/>
      <c r="K110" s="71"/>
      <c r="L110" s="72"/>
      <c r="M110" s="71"/>
      <c r="N110" s="72"/>
      <c r="O110" s="71"/>
      <c r="P110" s="89"/>
      <c r="Q110" s="298"/>
      <c r="R110" s="89"/>
      <c r="S110" s="89"/>
      <c r="Y110" s="87"/>
      <c r="Z110" s="88"/>
      <c r="AA110" s="89"/>
      <c r="AB110" s="89"/>
      <c r="AC110" s="58"/>
      <c r="AH110" s="87"/>
      <c r="AI110" s="88"/>
      <c r="AJ110" s="89"/>
      <c r="AK110" s="89"/>
      <c r="AL110" s="58"/>
      <c r="AQ110" s="87"/>
      <c r="AR110" s="92"/>
      <c r="AS110" s="81"/>
    </row>
    <row r="111" spans="1:45" ht="24" customHeight="1" x14ac:dyDescent="0.2">
      <c r="B111" s="255" t="s">
        <v>212</v>
      </c>
      <c r="C111" s="256"/>
      <c r="D111" s="256"/>
      <c r="E111" s="256"/>
      <c r="F111" s="256"/>
      <c r="G111" s="256"/>
      <c r="H111" s="256"/>
      <c r="I111" s="257" t="s">
        <v>129</v>
      </c>
      <c r="J111" s="258" t="s">
        <v>130</v>
      </c>
      <c r="K111" s="77"/>
      <c r="L111" s="78"/>
      <c r="M111" s="77"/>
      <c r="N111" s="79"/>
      <c r="O111" s="77"/>
      <c r="P111" s="89"/>
      <c r="Q111" s="298"/>
      <c r="T111" s="43"/>
      <c r="Y111" s="87"/>
      <c r="Z111" s="88"/>
      <c r="AH111" s="87"/>
      <c r="AI111" s="88"/>
      <c r="AQ111" s="87"/>
      <c r="AR111" s="92"/>
      <c r="AS111" s="80"/>
    </row>
    <row r="112" spans="1:45" ht="3" customHeight="1" x14ac:dyDescent="0.2">
      <c r="B112" s="50"/>
      <c r="C112" s="50"/>
      <c r="D112" s="50"/>
      <c r="E112" s="50"/>
      <c r="F112" s="50"/>
      <c r="G112" s="50"/>
      <c r="H112" s="50"/>
      <c r="I112" s="96"/>
      <c r="J112" s="97"/>
      <c r="P112" s="89"/>
      <c r="Q112" s="298"/>
      <c r="R112" s="89"/>
      <c r="S112" s="89"/>
      <c r="Y112" s="87"/>
      <c r="Z112" s="88"/>
      <c r="AA112" s="89"/>
      <c r="AB112" s="89"/>
      <c r="AC112" s="58"/>
      <c r="AH112" s="87"/>
      <c r="AI112" s="88"/>
      <c r="AJ112" s="89"/>
      <c r="AK112" s="89"/>
      <c r="AL112" s="58"/>
      <c r="AQ112" s="87"/>
      <c r="AR112" s="92"/>
      <c r="AS112" s="81"/>
    </row>
    <row r="113" spans="1:45" x14ac:dyDescent="0.2">
      <c r="B113" s="50"/>
      <c r="C113" s="50" t="s">
        <v>198</v>
      </c>
      <c r="D113" s="50"/>
      <c r="E113" s="50"/>
      <c r="F113" s="50"/>
      <c r="G113" s="50"/>
      <c r="H113" s="50"/>
      <c r="I113" s="96">
        <f>IF(UnitsOfMeasure="Metric",1450,1750)</f>
        <v>1750</v>
      </c>
      <c r="J113" s="97" t="s">
        <v>199</v>
      </c>
      <c r="K113" s="125">
        <f>I113</f>
        <v>1750</v>
      </c>
      <c r="L113" s="126"/>
      <c r="M113" s="125">
        <f>K113</f>
        <v>1750</v>
      </c>
      <c r="N113" s="126"/>
      <c r="O113" s="125">
        <f>K113</f>
        <v>1750</v>
      </c>
      <c r="P113" s="89"/>
      <c r="Q113" s="298"/>
      <c r="R113" s="84" t="str">
        <f>IF(T$30=$B$23,"Required","Not Required")</f>
        <v>Not Required</v>
      </c>
      <c r="S113" s="89"/>
      <c r="T113" s="90">
        <f>IF(R113="Not Required",0,K113)</f>
        <v>0</v>
      </c>
      <c r="U113" s="91" t="str">
        <f>$J113</f>
        <v>RPM</v>
      </c>
      <c r="V113" s="50"/>
      <c r="W113" s="90">
        <f>IF(R113="Not Required",0,K113)</f>
        <v>0</v>
      </c>
      <c r="X113" s="91" t="str">
        <f>$J113</f>
        <v>RPM</v>
      </c>
      <c r="Y113" s="87"/>
      <c r="Z113" s="88"/>
      <c r="AA113" s="84" t="str">
        <f>IF(AC$30=$B$23,"Required","Not Required")</f>
        <v>Not Required</v>
      </c>
      <c r="AB113" s="89"/>
      <c r="AC113" s="90">
        <f>IF(AA113="Not Required",0,M113)</f>
        <v>0</v>
      </c>
      <c r="AD113" s="91" t="str">
        <f>$J113</f>
        <v>RPM</v>
      </c>
      <c r="AE113" s="50"/>
      <c r="AF113" s="90">
        <f>IF(AA113="Not Required",0,M113)</f>
        <v>0</v>
      </c>
      <c r="AG113" s="91" t="str">
        <f>$J113</f>
        <v>RPM</v>
      </c>
      <c r="AH113" s="87"/>
      <c r="AI113" s="88"/>
      <c r="AJ113" s="84" t="str">
        <f>IF(AL$30=$B$23,"Required","Not Required")</f>
        <v>Required</v>
      </c>
      <c r="AK113" s="89"/>
      <c r="AL113" s="90">
        <f>IF(AJ113="Not Required",0,O113)</f>
        <v>1750</v>
      </c>
      <c r="AM113" s="91" t="str">
        <f>$J113</f>
        <v>RPM</v>
      </c>
      <c r="AN113" s="50"/>
      <c r="AO113" s="90">
        <f>IF(AJ113="Not Required",0,O113)</f>
        <v>1750</v>
      </c>
      <c r="AP113" s="91" t="str">
        <f>$J113</f>
        <v>RPM</v>
      </c>
      <c r="AQ113" s="87"/>
      <c r="AR113" s="92"/>
      <c r="AS113" s="80" t="s">
        <v>254</v>
      </c>
    </row>
    <row r="114" spans="1:45" ht="3" customHeight="1" x14ac:dyDescent="0.2">
      <c r="B114" s="50"/>
      <c r="C114" s="50"/>
      <c r="D114" s="50"/>
      <c r="E114" s="50"/>
      <c r="F114" s="50"/>
      <c r="G114" s="50"/>
      <c r="H114" s="50"/>
      <c r="I114" s="96"/>
      <c r="J114" s="97"/>
      <c r="P114" s="89"/>
      <c r="Q114" s="298"/>
      <c r="R114" s="89"/>
      <c r="S114" s="89"/>
      <c r="Y114" s="87"/>
      <c r="Z114" s="88"/>
      <c r="AA114" s="89"/>
      <c r="AB114" s="89"/>
      <c r="AC114" s="58"/>
      <c r="AH114" s="87"/>
      <c r="AI114" s="88"/>
      <c r="AJ114" s="89"/>
      <c r="AK114" s="89"/>
      <c r="AL114" s="58"/>
      <c r="AQ114" s="87"/>
      <c r="AR114" s="92"/>
      <c r="AS114" s="81"/>
    </row>
    <row r="115" spans="1:45" x14ac:dyDescent="0.2">
      <c r="B115" s="50"/>
      <c r="C115" s="50" t="s">
        <v>213</v>
      </c>
      <c r="D115" s="50"/>
      <c r="E115" s="50"/>
      <c r="F115" s="50"/>
      <c r="G115" s="50"/>
      <c r="H115" s="50"/>
      <c r="I115" s="96">
        <f>IF(UnitsOfMeasure="Metric",50,1.75)</f>
        <v>1.75</v>
      </c>
      <c r="J115" s="97" t="str">
        <f>IF(UnitsOfMeasure="Metric","mm","inch")</f>
        <v>inch</v>
      </c>
      <c r="K115" s="125">
        <f>I115</f>
        <v>1.75</v>
      </c>
      <c r="L115" s="126"/>
      <c r="M115" s="125">
        <f>K115</f>
        <v>1.75</v>
      </c>
      <c r="N115" s="126"/>
      <c r="O115" s="125">
        <f>K115</f>
        <v>1.75</v>
      </c>
      <c r="P115" s="89"/>
      <c r="Q115" s="298"/>
      <c r="R115" s="84" t="str">
        <f>IF(T$30=$B$23,"Required","Not Required")</f>
        <v>Not Required</v>
      </c>
      <c r="S115" s="89"/>
      <c r="T115" s="90">
        <f>IF(R115="Not Required",0,IF(UnitsOfMeasure="Metric",K115,K115*$U$11))</f>
        <v>0</v>
      </c>
      <c r="U115" s="91" t="s">
        <v>247</v>
      </c>
      <c r="V115" s="50"/>
      <c r="W115" s="90">
        <f>IF(R115="Not Required",0,IF(UnitsOfMeasure="Imperial",K115,K115/$U$11))</f>
        <v>0</v>
      </c>
      <c r="X115" s="91" t="s">
        <v>250</v>
      </c>
      <c r="Y115" s="87"/>
      <c r="Z115" s="88"/>
      <c r="AA115" s="84" t="str">
        <f>IF(AC$30=$B$23,"Required","Not Required")</f>
        <v>Not Required</v>
      </c>
      <c r="AB115" s="89"/>
      <c r="AC115" s="90">
        <f>IF(AA115="Not Required",0,IF(UnitsOfMeasure="Metric",M115,M115*$U$11))</f>
        <v>0</v>
      </c>
      <c r="AD115" s="91" t="s">
        <v>247</v>
      </c>
      <c r="AE115" s="50"/>
      <c r="AF115" s="90">
        <f>IF(AA115="Not Required",0,IF(UnitsOfMeasure="Imperial",M115,M115/$U$11))</f>
        <v>0</v>
      </c>
      <c r="AG115" s="91" t="s">
        <v>250</v>
      </c>
      <c r="AH115" s="87"/>
      <c r="AI115" s="88"/>
      <c r="AJ115" s="84" t="str">
        <f>IF(AL$30=$B$23,"Required","Not Required")</f>
        <v>Required</v>
      </c>
      <c r="AK115" s="89"/>
      <c r="AL115" s="90">
        <f>IF(AJ115="Not Required",0,IF(UnitsOfMeasure="Metric",O115,O115*$U$11))</f>
        <v>44.449999999999996</v>
      </c>
      <c r="AM115" s="91" t="s">
        <v>247</v>
      </c>
      <c r="AN115" s="50"/>
      <c r="AO115" s="90">
        <f>IF(AJ115="Not Required",0,IF(UnitsOfMeasure="Imperial",O115,O115/$U$11))</f>
        <v>1.75</v>
      </c>
      <c r="AP115" s="91" t="s">
        <v>250</v>
      </c>
      <c r="AQ115" s="87"/>
      <c r="AR115" s="92"/>
      <c r="AS115" s="80" t="s">
        <v>254</v>
      </c>
    </row>
    <row r="116" spans="1:45" ht="3" customHeight="1" x14ac:dyDescent="0.2">
      <c r="B116" s="50"/>
      <c r="C116" s="50"/>
      <c r="D116" s="50"/>
      <c r="E116" s="50"/>
      <c r="F116" s="50"/>
      <c r="G116" s="50"/>
      <c r="H116" s="50"/>
      <c r="I116" s="96"/>
      <c r="J116" s="97"/>
      <c r="P116" s="89"/>
      <c r="Q116" s="298"/>
      <c r="R116" s="89"/>
      <c r="S116" s="89"/>
      <c r="Y116" s="87"/>
      <c r="Z116" s="88"/>
      <c r="AA116" s="89"/>
      <c r="AB116" s="89"/>
      <c r="AC116" s="58"/>
      <c r="AH116" s="87"/>
      <c r="AI116" s="88"/>
      <c r="AJ116" s="89"/>
      <c r="AK116" s="89"/>
      <c r="AL116" s="58"/>
      <c r="AQ116" s="87"/>
      <c r="AR116" s="92"/>
      <c r="AS116" s="81"/>
    </row>
    <row r="117" spans="1:45" x14ac:dyDescent="0.2">
      <c r="B117" s="50"/>
      <c r="C117" s="50" t="s">
        <v>214</v>
      </c>
      <c r="D117" s="50"/>
      <c r="E117" s="50"/>
      <c r="F117" s="50"/>
      <c r="G117" s="50"/>
      <c r="H117" s="50"/>
      <c r="I117" s="96">
        <f>IF(UnitsOfMeasure="Metric",3.5,50)</f>
        <v>50</v>
      </c>
      <c r="J117" s="97" t="str">
        <f>IF(UnitsOfMeasure="Metric","barg","psig")</f>
        <v>psig</v>
      </c>
      <c r="K117" s="125">
        <f>I117</f>
        <v>50</v>
      </c>
      <c r="L117" s="126"/>
      <c r="M117" s="125">
        <f>K117</f>
        <v>50</v>
      </c>
      <c r="N117" s="126"/>
      <c r="O117" s="125">
        <f>K117</f>
        <v>50</v>
      </c>
      <c r="P117" s="89"/>
      <c r="Q117" s="298"/>
      <c r="R117" s="84" t="str">
        <f>IF(T$30=$B$23,"Required","Not Required")</f>
        <v>Not Required</v>
      </c>
      <c r="S117" s="89"/>
      <c r="T117" s="90">
        <f>IF(R117="Not Required",0,IF(UnitsOfMeasure="Metric",K117,K117/$U$16))</f>
        <v>0</v>
      </c>
      <c r="U117" s="91" t="s">
        <v>248</v>
      </c>
      <c r="V117" s="50"/>
      <c r="W117" s="90">
        <f>IF(R117="Not Required",0,IF(UnitsOfMeasure="Imperial",K117,K117*$U$16))</f>
        <v>0</v>
      </c>
      <c r="X117" s="91" t="s">
        <v>202</v>
      </c>
      <c r="Y117" s="87"/>
      <c r="Z117" s="88"/>
      <c r="AA117" s="84" t="str">
        <f>IF(AC$30=$B$23,"Required","Not Required")</f>
        <v>Not Required</v>
      </c>
      <c r="AB117" s="89"/>
      <c r="AC117" s="90">
        <f>IF(AA117="Not Required",0,IF(UnitsOfMeasure="Metric",M117,M117/$U$16))</f>
        <v>0</v>
      </c>
      <c r="AD117" s="91" t="s">
        <v>248</v>
      </c>
      <c r="AE117" s="50"/>
      <c r="AF117" s="90">
        <f>IF(AA117="Not Required",0,IF(UnitsOfMeasure="Imperial",M117,M117*$U$16))</f>
        <v>0</v>
      </c>
      <c r="AG117" s="91" t="s">
        <v>202</v>
      </c>
      <c r="AH117" s="87"/>
      <c r="AI117" s="88"/>
      <c r="AJ117" s="84" t="str">
        <f>IF(AL$30=$B$23,"Required","Not Required")</f>
        <v>Required</v>
      </c>
      <c r="AK117" s="89"/>
      <c r="AL117" s="90">
        <f>IF(AJ117="Not Required",0,IF(UnitsOfMeasure="Metric",O117,O117/$U$16))</f>
        <v>3.4473724127470042</v>
      </c>
      <c r="AM117" s="91" t="s">
        <v>248</v>
      </c>
      <c r="AN117" s="50"/>
      <c r="AO117" s="90">
        <f>IF(AJ117="Not Required",0,IF(UnitsOfMeasure="Imperial",O117,O117*$U$16))</f>
        <v>50</v>
      </c>
      <c r="AP117" s="91" t="s">
        <v>202</v>
      </c>
      <c r="AQ117" s="87"/>
      <c r="AR117" s="92"/>
      <c r="AS117" s="80" t="s">
        <v>254</v>
      </c>
    </row>
    <row r="118" spans="1:45" ht="3" customHeight="1" x14ac:dyDescent="0.2">
      <c r="B118" s="50"/>
      <c r="C118" s="50"/>
      <c r="D118" s="50"/>
      <c r="E118" s="50"/>
      <c r="F118" s="50"/>
      <c r="G118" s="50"/>
      <c r="H118" s="50"/>
      <c r="I118" s="96"/>
      <c r="J118" s="97"/>
      <c r="P118" s="89"/>
      <c r="Q118" s="298"/>
      <c r="R118" s="89"/>
      <c r="S118" s="89"/>
      <c r="Y118" s="87"/>
      <c r="Z118" s="88"/>
      <c r="AA118" s="89"/>
      <c r="AB118" s="89"/>
      <c r="AC118" s="58"/>
      <c r="AH118" s="87"/>
      <c r="AI118" s="88"/>
      <c r="AJ118" s="89"/>
      <c r="AK118" s="89"/>
      <c r="AL118" s="58"/>
      <c r="AQ118" s="87"/>
      <c r="AR118" s="92"/>
      <c r="AS118" s="81"/>
    </row>
    <row r="119" spans="1:45" x14ac:dyDescent="0.2">
      <c r="B119" s="50"/>
      <c r="C119" s="50" t="s">
        <v>203</v>
      </c>
      <c r="D119" s="50"/>
      <c r="E119" s="50"/>
      <c r="F119" s="50"/>
      <c r="G119" s="50"/>
      <c r="H119" s="50"/>
      <c r="I119" s="96">
        <f>IF(UnitsOfMeasure="Metric",40,100)</f>
        <v>100</v>
      </c>
      <c r="J119" s="97" t="str">
        <f>IF(UnitsOfMeasure="Metric","°C","°F")</f>
        <v>°F</v>
      </c>
      <c r="K119" s="125">
        <f>I119</f>
        <v>100</v>
      </c>
      <c r="L119" s="126"/>
      <c r="M119" s="125">
        <f>K119</f>
        <v>100</v>
      </c>
      <c r="N119" s="126"/>
      <c r="O119" s="125">
        <f>K119</f>
        <v>100</v>
      </c>
      <c r="P119" s="89"/>
      <c r="Q119" s="298"/>
      <c r="R119" s="84" t="str">
        <f>IF(T$30=$B$23,"Required","Not Required")</f>
        <v>Not Required</v>
      </c>
      <c r="S119" s="89"/>
      <c r="T119" s="90">
        <f>IF(R119="Not Required",0,IF(UnitsOfMeasure="Metric",K119,(K119-32)*5/9))</f>
        <v>0</v>
      </c>
      <c r="U119" s="91" t="s">
        <v>249</v>
      </c>
      <c r="V119" s="50"/>
      <c r="W119" s="90">
        <f>IF(R119="Not Required",0,IF(UnitsOfMeasure="Imperial",K119,(K119*9/5+32)))</f>
        <v>0</v>
      </c>
      <c r="X119" s="91" t="s">
        <v>204</v>
      </c>
      <c r="Y119" s="87"/>
      <c r="Z119" s="88"/>
      <c r="AA119" s="84" t="str">
        <f>IF(AC$30=$B$23,"Required","Not Required")</f>
        <v>Not Required</v>
      </c>
      <c r="AB119" s="89"/>
      <c r="AC119" s="90">
        <f>IF(AA119="Not Required",0,IF(UnitsOfMeasure="Metric",M119,(M119-32)*5/9))</f>
        <v>0</v>
      </c>
      <c r="AD119" s="91" t="s">
        <v>249</v>
      </c>
      <c r="AE119" s="50"/>
      <c r="AF119" s="90">
        <f>IF(AA119="Not Required",0,IF(UnitsOfMeasure="Imperial",M119,(M119*9/5+32)))</f>
        <v>0</v>
      </c>
      <c r="AG119" s="91" t="s">
        <v>204</v>
      </c>
      <c r="AH119" s="87"/>
      <c r="AI119" s="88"/>
      <c r="AJ119" s="84" t="str">
        <f>IF(AL$30=$B$23,"Required","Not Required")</f>
        <v>Required</v>
      </c>
      <c r="AK119" s="89"/>
      <c r="AL119" s="90">
        <f>IF(AJ119="Not Required",0,IF(UnitsOfMeasure="Metric",O119,(O119-32)*5/9))</f>
        <v>37.777777777777779</v>
      </c>
      <c r="AM119" s="91" t="s">
        <v>249</v>
      </c>
      <c r="AN119" s="50"/>
      <c r="AO119" s="90">
        <f>IF(AJ119="Not Required",0,IF(UnitsOfMeasure="Imperial",O119,(O119*9/5+32)))</f>
        <v>100</v>
      </c>
      <c r="AP119" s="91" t="s">
        <v>204</v>
      </c>
      <c r="AQ119" s="87"/>
      <c r="AR119" s="92"/>
      <c r="AS119" s="80" t="s">
        <v>254</v>
      </c>
    </row>
    <row r="120" spans="1:45" ht="3" customHeight="1" x14ac:dyDescent="0.2">
      <c r="B120" s="50"/>
      <c r="C120" s="50"/>
      <c r="D120" s="50"/>
      <c r="E120" s="50"/>
      <c r="F120" s="50"/>
      <c r="G120" s="50"/>
      <c r="H120" s="50"/>
      <c r="I120" s="96"/>
      <c r="J120" s="97"/>
      <c r="P120" s="89"/>
      <c r="Q120" s="298"/>
      <c r="R120" s="89"/>
      <c r="S120" s="89"/>
      <c r="Y120" s="87"/>
      <c r="Z120" s="88"/>
      <c r="AA120" s="89"/>
      <c r="AB120" s="89"/>
      <c r="AC120" s="58"/>
      <c r="AH120" s="87"/>
      <c r="AI120" s="88"/>
      <c r="AJ120" s="89"/>
      <c r="AK120" s="89"/>
      <c r="AL120" s="58"/>
      <c r="AQ120" s="87"/>
      <c r="AR120" s="92"/>
      <c r="AS120" s="81"/>
    </row>
    <row r="121" spans="1:45" x14ac:dyDescent="0.2">
      <c r="B121" s="50"/>
      <c r="C121" s="50" t="str">
        <f>IF(UnitsOfMeasure="Metric",CONCATENATE("Packing Initial Cost (Est. €",ROUND(40*ExchangeRate/$U$11/5,2)*5,"/mm Diameter)"),"Packing Initial Cost (Est. $40/Inch Diameter)")</f>
        <v>Packing Initial Cost (Est. $40/Inch Diameter)</v>
      </c>
      <c r="D121" s="50"/>
      <c r="E121" s="50"/>
      <c r="F121" s="50"/>
      <c r="G121" s="50"/>
      <c r="H121" s="50"/>
      <c r="I121" s="96" t="s">
        <v>261</v>
      </c>
      <c r="J121" s="97" t="str">
        <f>IF(UnitsOfMeasure="Metric","€","$")</f>
        <v>$</v>
      </c>
      <c r="K121" s="268">
        <f>K123</f>
        <v>0</v>
      </c>
      <c r="L121" s="353"/>
      <c r="M121" s="268">
        <f>M123</f>
        <v>0</v>
      </c>
      <c r="N121" s="353"/>
      <c r="O121" s="268">
        <f>O123</f>
        <v>70</v>
      </c>
      <c r="P121" s="89"/>
      <c r="Q121" s="298"/>
      <c r="R121" s="84" t="str">
        <f>IF(T$30=$B$23,"Required","Not Required")</f>
        <v>Not Required</v>
      </c>
      <c r="S121" s="89"/>
      <c r="T121" s="94">
        <f>IF(R121="Not Required",0,IF(UnitsOfMeasure="Metric",K121, K121*ExchangeRate))</f>
        <v>0</v>
      </c>
      <c r="U121" s="95" t="s">
        <v>251</v>
      </c>
      <c r="V121" s="50"/>
      <c r="W121" s="94">
        <f>IF(R121="Not Required",0,IF(UnitsOfMeasure="Metric",K121/ExchangeRate,K121))</f>
        <v>0</v>
      </c>
      <c r="X121" s="95" t="s">
        <v>205</v>
      </c>
      <c r="Y121" s="87"/>
      <c r="Z121" s="88"/>
      <c r="AA121" s="84" t="str">
        <f>IF(AC$30=$B$23,"Required","Not Required")</f>
        <v>Not Required</v>
      </c>
      <c r="AB121" s="89"/>
      <c r="AC121" s="94">
        <f>IF(AA121="Not Required",0,IF(UnitsOfMeasure="Metric",M121, M121*ExchangeRate))</f>
        <v>0</v>
      </c>
      <c r="AD121" s="95" t="s">
        <v>251</v>
      </c>
      <c r="AE121" s="50"/>
      <c r="AF121" s="94">
        <f>IF(AA121="Not Required",0,IF(UnitsOfMeasure="Metric",M121/ExchangeRate,M121))</f>
        <v>0</v>
      </c>
      <c r="AG121" s="95" t="s">
        <v>205</v>
      </c>
      <c r="AH121" s="87"/>
      <c r="AI121" s="88"/>
      <c r="AJ121" s="84" t="str">
        <f>IF(AL$30=$B$23,"Required","Not Required")</f>
        <v>Required</v>
      </c>
      <c r="AK121" s="89"/>
      <c r="AL121" s="94">
        <f>IF(AJ121="Not Required",0,IF(UnitsOfMeasure="Metric",O121, O121*ExchangeRate))</f>
        <v>52.604999999999997</v>
      </c>
      <c r="AM121" s="95" t="s">
        <v>251</v>
      </c>
      <c r="AN121" s="50"/>
      <c r="AO121" s="94">
        <f>IF(AJ121="Not Required",0,IF(UnitsOfMeasure="Metric",O121/ExchangeRate,O121))</f>
        <v>70</v>
      </c>
      <c r="AP121" s="95" t="s">
        <v>205</v>
      </c>
      <c r="AQ121" s="87"/>
      <c r="AR121" s="92"/>
      <c r="AS121" s="293" t="s">
        <v>762</v>
      </c>
    </row>
    <row r="122" spans="1:45" ht="3" customHeight="1" x14ac:dyDescent="0.2">
      <c r="B122" s="50"/>
      <c r="C122" s="50"/>
      <c r="D122" s="50"/>
      <c r="E122" s="50"/>
      <c r="F122" s="50"/>
      <c r="G122" s="50"/>
      <c r="H122" s="50"/>
      <c r="I122" s="96"/>
      <c r="J122" s="97"/>
      <c r="K122" s="351"/>
      <c r="L122" s="352"/>
      <c r="M122" s="351"/>
      <c r="N122" s="352"/>
      <c r="O122" s="351"/>
      <c r="P122" s="89"/>
      <c r="Q122" s="298"/>
      <c r="R122" s="89"/>
      <c r="S122" s="89"/>
      <c r="Y122" s="87"/>
      <c r="Z122" s="88"/>
      <c r="AA122" s="89"/>
      <c r="AB122" s="89"/>
      <c r="AC122" s="58"/>
      <c r="AH122" s="87"/>
      <c r="AI122" s="88"/>
      <c r="AJ122" s="89"/>
      <c r="AK122" s="89"/>
      <c r="AL122" s="58"/>
      <c r="AQ122" s="87"/>
      <c r="AR122" s="92"/>
      <c r="AS122" s="81"/>
    </row>
    <row r="123" spans="1:45" ht="14.25" hidden="1" customHeight="1" x14ac:dyDescent="0.2">
      <c r="A123" s="62" t="s">
        <v>263</v>
      </c>
      <c r="B123" s="50"/>
      <c r="C123" s="349" t="str">
        <f>IF(UnitsOfMeasure="Metric",CONCATENATE("Packing Initial Cost (Est. €",ROUND(40*ExchangeRate/$U$11/5,2)*5,"/mm Diameter)"),"Packing Initial Cost (Est. $40/Inch Diameter)")</f>
        <v>Packing Initial Cost (Est. $40/Inch Diameter)</v>
      </c>
      <c r="D123" s="346"/>
      <c r="E123" s="346"/>
      <c r="F123" s="346"/>
      <c r="G123" s="346"/>
      <c r="H123" s="346"/>
      <c r="I123" s="348" t="s">
        <v>261</v>
      </c>
      <c r="J123" s="347" t="str">
        <f>IF(UnitsOfMeasure="Metric","€","$")</f>
        <v>$</v>
      </c>
      <c r="K123" s="356">
        <f>IF(UnitsOfMeasure="Metric",T123,W123)</f>
        <v>0</v>
      </c>
      <c r="L123" s="353"/>
      <c r="M123" s="356">
        <f>IF(UnitsOfMeasure="Metric",AC123,AF123)</f>
        <v>0</v>
      </c>
      <c r="N123" s="353"/>
      <c r="O123" s="356">
        <f>IF(UnitsOfMeasure="Metric",AL123,AO123)</f>
        <v>70</v>
      </c>
      <c r="P123" s="89"/>
      <c r="Q123" s="298"/>
      <c r="R123" s="84" t="str">
        <f>IF(T$30=$B$23,"Required","Not Required")</f>
        <v>Not Required</v>
      </c>
      <c r="S123" s="89"/>
      <c r="T123" s="94">
        <f>IF(R123="Not Required",0,T$115*IF(UnitsOfMeasure="Metric",ROUND(40*ExchangeRate/$U$11*5,0)/5,40*ExchangeRate/$U$11))</f>
        <v>0</v>
      </c>
      <c r="U123" s="95" t="s">
        <v>251</v>
      </c>
      <c r="V123" s="50"/>
      <c r="W123" s="94">
        <f>IF(R123="Not Required",0,W$115*IF(UnitsOfMeasure="Imperial",40,($U$11*ROUND(40*ExchangeRate/$U$11*5,0)/5)/ExchangeRate))</f>
        <v>0</v>
      </c>
      <c r="X123" s="95" t="s">
        <v>205</v>
      </c>
      <c r="Y123" s="87"/>
      <c r="Z123" s="88"/>
      <c r="AA123" s="84" t="str">
        <f>IF(AC$30=$B$23,"Required","Not Required")</f>
        <v>Not Required</v>
      </c>
      <c r="AB123" s="89"/>
      <c r="AC123" s="94">
        <f>IF(AA123="Not Required",0,AC$115*IF(UnitsOfMeasure="Metric",ROUND(40*ExchangeRate/$U$11*5,0)/5,40*ExchangeRate/$U$11))</f>
        <v>0</v>
      </c>
      <c r="AD123" s="95" t="s">
        <v>251</v>
      </c>
      <c r="AE123" s="50"/>
      <c r="AF123" s="94">
        <f>IF(AA123="Not Required",0,AF$115*IF(UnitsOfMeasure="Imperial",40,($U$11*ROUND(40*ExchangeRate/$U$11*5,0)/5)/ExchangeRate))</f>
        <v>0</v>
      </c>
      <c r="AG123" s="95" t="s">
        <v>205</v>
      </c>
      <c r="AH123" s="87"/>
      <c r="AI123" s="88"/>
      <c r="AJ123" s="84" t="str">
        <f>IF(AL$30=$B$23,"Required","Not Required")</f>
        <v>Required</v>
      </c>
      <c r="AK123" s="89"/>
      <c r="AL123" s="94">
        <f>IF(AJ123="Not Required",0,AL$115*IF(UnitsOfMeasure="Metric",ROUND(40*ExchangeRate/$U$11*5,0)/5,40*ExchangeRate/$U$11))</f>
        <v>52.604999999999997</v>
      </c>
      <c r="AM123" s="95" t="s">
        <v>251</v>
      </c>
      <c r="AN123" s="50"/>
      <c r="AO123" s="94">
        <f>IF(AJ123="Not Required",0,AO$115*IF(UnitsOfMeasure="Imperial",40,($U$11*ROUND(40*ExchangeRate/$U$11*5,0)/5)/ExchangeRate))</f>
        <v>70</v>
      </c>
      <c r="AP123" s="95" t="s">
        <v>205</v>
      </c>
      <c r="AQ123" s="87"/>
      <c r="AR123" s="92"/>
      <c r="AS123" s="80" t="s">
        <v>254</v>
      </c>
    </row>
    <row r="124" spans="1:45" ht="3" hidden="1" customHeight="1" x14ac:dyDescent="0.2">
      <c r="A124" s="62"/>
      <c r="B124" s="50"/>
      <c r="C124" s="50"/>
      <c r="D124" s="50"/>
      <c r="E124" s="50"/>
      <c r="F124" s="50"/>
      <c r="G124" s="50"/>
      <c r="H124" s="50"/>
      <c r="I124" s="96"/>
      <c r="J124" s="97"/>
      <c r="P124" s="89"/>
      <c r="Q124" s="298"/>
      <c r="R124" s="89"/>
      <c r="S124" s="89"/>
      <c r="Y124" s="87"/>
      <c r="Z124" s="88"/>
      <c r="AA124" s="89"/>
      <c r="AB124" s="89"/>
      <c r="AC124" s="58"/>
      <c r="AH124" s="87"/>
      <c r="AI124" s="88"/>
      <c r="AJ124" s="89"/>
      <c r="AK124" s="89"/>
      <c r="AL124" s="58"/>
      <c r="AQ124" s="87"/>
      <c r="AR124" s="92"/>
      <c r="AS124" s="81"/>
    </row>
    <row r="125" spans="1:45" x14ac:dyDescent="0.2">
      <c r="B125" s="50"/>
      <c r="C125" s="50" t="s">
        <v>215</v>
      </c>
      <c r="D125" s="50"/>
      <c r="E125" s="50"/>
      <c r="F125" s="50"/>
      <c r="G125" s="50"/>
      <c r="H125" s="50"/>
      <c r="I125" s="96">
        <v>6</v>
      </c>
      <c r="J125" s="97" t="s">
        <v>208</v>
      </c>
      <c r="K125" s="125">
        <f>I125</f>
        <v>6</v>
      </c>
      <c r="L125" s="126"/>
      <c r="M125" s="125">
        <f>K125</f>
        <v>6</v>
      </c>
      <c r="N125" s="126"/>
      <c r="O125" s="125">
        <f>K125</f>
        <v>6</v>
      </c>
      <c r="P125" s="89"/>
      <c r="Q125" s="298"/>
      <c r="R125" s="84" t="str">
        <f>IF(T$30=$B$23,"Required","Not Required")</f>
        <v>Not Required</v>
      </c>
      <c r="S125" s="89"/>
      <c r="T125" s="90">
        <f>IF(R125="Not Required",0,K125)</f>
        <v>0</v>
      </c>
      <c r="U125" s="91" t="s">
        <v>252</v>
      </c>
      <c r="V125" s="50"/>
      <c r="W125" s="90">
        <f>IF(R125="Not Required",0,K125)</f>
        <v>0</v>
      </c>
      <c r="X125" s="91" t="s">
        <v>252</v>
      </c>
      <c r="Y125" s="87"/>
      <c r="Z125" s="88"/>
      <c r="AA125" s="84" t="str">
        <f>IF(AC$30=$B$23,"Required","Not Required")</f>
        <v>Not Required</v>
      </c>
      <c r="AB125" s="89"/>
      <c r="AC125" s="90">
        <f>IF(AA125="Not Required",0,M125)</f>
        <v>0</v>
      </c>
      <c r="AD125" s="91" t="s">
        <v>252</v>
      </c>
      <c r="AE125" s="50"/>
      <c r="AF125" s="90">
        <f>IF(AA125="Not Required",0,M125)</f>
        <v>0</v>
      </c>
      <c r="AG125" s="91" t="s">
        <v>252</v>
      </c>
      <c r="AH125" s="87"/>
      <c r="AI125" s="88"/>
      <c r="AJ125" s="84" t="str">
        <f>IF(AL$30=$B$23,"Required","Not Required")</f>
        <v>Required</v>
      </c>
      <c r="AK125" s="89"/>
      <c r="AL125" s="90">
        <f>IF(AJ125="Not Required",0,O125)</f>
        <v>6</v>
      </c>
      <c r="AM125" s="91" t="s">
        <v>252</v>
      </c>
      <c r="AN125" s="50"/>
      <c r="AO125" s="90">
        <f>IF(AJ125="Not Required",0,O125)</f>
        <v>6</v>
      </c>
      <c r="AP125" s="91" t="s">
        <v>252</v>
      </c>
      <c r="AQ125" s="87"/>
      <c r="AR125" s="92"/>
      <c r="AS125" s="80" t="s">
        <v>254</v>
      </c>
    </row>
    <row r="126" spans="1:45" ht="3" customHeight="1" x14ac:dyDescent="0.2">
      <c r="B126" s="50"/>
      <c r="C126" s="50"/>
      <c r="D126" s="50"/>
      <c r="E126" s="50"/>
      <c r="F126" s="50"/>
      <c r="G126" s="50"/>
      <c r="H126" s="50"/>
      <c r="I126" s="96"/>
      <c r="J126" s="97"/>
      <c r="P126" s="89"/>
      <c r="Q126" s="298"/>
      <c r="R126" s="89"/>
      <c r="S126" s="89"/>
      <c r="Y126" s="87"/>
      <c r="Z126" s="88"/>
      <c r="AA126" s="89"/>
      <c r="AB126" s="89"/>
      <c r="AC126" s="58"/>
      <c r="AH126" s="87"/>
      <c r="AI126" s="88"/>
      <c r="AJ126" s="89"/>
      <c r="AK126" s="89"/>
      <c r="AL126" s="58"/>
      <c r="AQ126" s="87"/>
      <c r="AR126" s="92"/>
      <c r="AS126" s="81"/>
    </row>
    <row r="127" spans="1:45" x14ac:dyDescent="0.2">
      <c r="B127" s="50"/>
      <c r="C127" s="50" t="s">
        <v>216</v>
      </c>
      <c r="D127" s="50"/>
      <c r="E127" s="50"/>
      <c r="F127" s="50"/>
      <c r="G127" s="50"/>
      <c r="H127" s="50"/>
      <c r="I127" s="98">
        <v>1</v>
      </c>
      <c r="J127" s="97" t="s">
        <v>210</v>
      </c>
      <c r="K127" s="127">
        <f>I127</f>
        <v>1</v>
      </c>
      <c r="L127" s="126"/>
      <c r="M127" s="127">
        <f>K127</f>
        <v>1</v>
      </c>
      <c r="N127" s="126"/>
      <c r="O127" s="127">
        <f>K127</f>
        <v>1</v>
      </c>
      <c r="P127" s="89"/>
      <c r="Q127" s="298"/>
      <c r="R127" s="84" t="str">
        <f>IF(T$30=$B$23,"Required","Not Required")</f>
        <v>Not Required</v>
      </c>
      <c r="S127" s="89"/>
      <c r="T127" s="99">
        <f>IF(R127="Not Required",0,K127)</f>
        <v>0</v>
      </c>
      <c r="U127" s="91" t="s">
        <v>224</v>
      </c>
      <c r="V127" s="50"/>
      <c r="W127" s="99">
        <f>IF(R127="Not Required",0,K127)</f>
        <v>0</v>
      </c>
      <c r="X127" s="91" t="s">
        <v>224</v>
      </c>
      <c r="Y127" s="87"/>
      <c r="Z127" s="88"/>
      <c r="AA127" s="84" t="str">
        <f>IF(AC$30=$B$23,"Required","Not Required")</f>
        <v>Not Required</v>
      </c>
      <c r="AB127" s="89"/>
      <c r="AC127" s="99">
        <f>IF(AA127="Not Required",0,M127)</f>
        <v>0</v>
      </c>
      <c r="AD127" s="91" t="s">
        <v>224</v>
      </c>
      <c r="AE127" s="50"/>
      <c r="AF127" s="99">
        <f>IF(AA127="Not Required",0,M127)</f>
        <v>0</v>
      </c>
      <c r="AG127" s="91" t="s">
        <v>224</v>
      </c>
      <c r="AH127" s="87"/>
      <c r="AI127" s="88"/>
      <c r="AJ127" s="84" t="str">
        <f>IF(AL$30=$B$23,"Required","Not Required")</f>
        <v>Required</v>
      </c>
      <c r="AK127" s="89"/>
      <c r="AL127" s="99">
        <f>IF(AJ127="Not Required",0,O127)</f>
        <v>1</v>
      </c>
      <c r="AM127" s="91" t="s">
        <v>224</v>
      </c>
      <c r="AN127" s="50"/>
      <c r="AO127" s="99">
        <f>IF(AJ127="Not Required",0,O127)</f>
        <v>1</v>
      </c>
      <c r="AP127" s="91" t="s">
        <v>224</v>
      </c>
      <c r="AQ127" s="87"/>
      <c r="AR127" s="92"/>
      <c r="AS127" s="80" t="s">
        <v>254</v>
      </c>
    </row>
    <row r="128" spans="1:45" ht="3" customHeight="1" x14ac:dyDescent="0.2">
      <c r="B128" s="50"/>
      <c r="C128" s="50"/>
      <c r="D128" s="50"/>
      <c r="E128" s="50"/>
      <c r="F128" s="50"/>
      <c r="G128" s="50"/>
      <c r="H128" s="50"/>
      <c r="I128" s="96"/>
      <c r="J128" s="97"/>
      <c r="P128" s="89"/>
      <c r="Q128" s="298"/>
      <c r="R128" s="89"/>
      <c r="S128" s="89"/>
      <c r="Y128" s="87"/>
      <c r="Z128" s="88"/>
      <c r="AA128" s="89"/>
      <c r="AB128" s="89"/>
      <c r="AC128" s="58"/>
      <c r="AH128" s="87"/>
      <c r="AI128" s="88"/>
      <c r="AJ128" s="89"/>
      <c r="AK128" s="89"/>
      <c r="AL128" s="58"/>
      <c r="AQ128" s="87"/>
      <c r="AR128" s="92"/>
      <c r="AS128" s="81"/>
    </row>
    <row r="129" spans="1:45" x14ac:dyDescent="0.2">
      <c r="B129" s="50"/>
      <c r="C129" s="50" t="s">
        <v>217</v>
      </c>
      <c r="D129" s="50"/>
      <c r="E129" s="50"/>
      <c r="F129" s="50"/>
      <c r="G129" s="50"/>
      <c r="H129" s="50"/>
      <c r="I129" s="100">
        <f>$AD$9</f>
        <v>0.17</v>
      </c>
      <c r="J129" s="101" t="s">
        <v>256</v>
      </c>
      <c r="K129" s="125">
        <f>I129</f>
        <v>0.17</v>
      </c>
      <c r="L129" s="126"/>
      <c r="M129" s="125">
        <f>K129</f>
        <v>0.17</v>
      </c>
      <c r="N129" s="126"/>
      <c r="O129" s="125">
        <f>K129</f>
        <v>0.17</v>
      </c>
      <c r="P129" s="89"/>
      <c r="Q129" s="298"/>
      <c r="R129" s="84" t="str">
        <f>IF(T$30=$B$23,"Required","Not Required")</f>
        <v>Not Required</v>
      </c>
      <c r="S129" s="89"/>
      <c r="T129" s="90">
        <f>IF(R129="Not Required",0,K129)</f>
        <v>0</v>
      </c>
      <c r="U129" s="102" t="s">
        <v>256</v>
      </c>
      <c r="V129" s="50"/>
      <c r="W129" s="90">
        <f>IF(R129="Not Required",0,K129)</f>
        <v>0</v>
      </c>
      <c r="X129" s="102" t="s">
        <v>256</v>
      </c>
      <c r="Y129" s="87"/>
      <c r="Z129" s="88"/>
      <c r="AA129" s="84" t="str">
        <f>IF(AC$30=$B$23,"Required","Not Required")</f>
        <v>Not Required</v>
      </c>
      <c r="AB129" s="89"/>
      <c r="AC129" s="90">
        <f>IF(AA129="Not Required",0,M129)</f>
        <v>0</v>
      </c>
      <c r="AD129" s="102" t="s">
        <v>256</v>
      </c>
      <c r="AE129" s="50"/>
      <c r="AF129" s="90">
        <f>IF(AA129="Not Required",0,M129)</f>
        <v>0</v>
      </c>
      <c r="AG129" s="102" t="s">
        <v>256</v>
      </c>
      <c r="AH129" s="87"/>
      <c r="AI129" s="88"/>
      <c r="AJ129" s="84" t="str">
        <f>IF(AL$30=$B$23,"Required","Not Required")</f>
        <v>Required</v>
      </c>
      <c r="AK129" s="89"/>
      <c r="AL129" s="90">
        <f>IF(AJ129="Not Required",0,O129)</f>
        <v>0.17</v>
      </c>
      <c r="AM129" s="102" t="s">
        <v>256</v>
      </c>
      <c r="AN129" s="50"/>
      <c r="AO129" s="90">
        <f>IF(AJ129="Not Required",0,O129)</f>
        <v>0.17</v>
      </c>
      <c r="AP129" s="102" t="s">
        <v>256</v>
      </c>
      <c r="AQ129" s="87"/>
      <c r="AR129" s="92"/>
      <c r="AS129" s="80" t="s">
        <v>254</v>
      </c>
    </row>
    <row r="130" spans="1:45" ht="3" customHeight="1" x14ac:dyDescent="0.2">
      <c r="B130" s="50"/>
      <c r="C130" s="50"/>
      <c r="D130" s="50"/>
      <c r="E130" s="50"/>
      <c r="F130" s="50"/>
      <c r="G130" s="50"/>
      <c r="H130" s="50"/>
      <c r="I130" s="96"/>
      <c r="J130" s="97"/>
      <c r="P130" s="89"/>
      <c r="Q130" s="298"/>
      <c r="R130" s="89"/>
      <c r="S130" s="89"/>
      <c r="Y130" s="87"/>
      <c r="Z130" s="88"/>
      <c r="AA130" s="89"/>
      <c r="AB130" s="89"/>
      <c r="AC130" s="58"/>
      <c r="AH130" s="87"/>
      <c r="AI130" s="88"/>
      <c r="AJ130" s="89"/>
      <c r="AK130" s="89"/>
      <c r="AL130" s="58"/>
      <c r="AQ130" s="87"/>
      <c r="AR130" s="92"/>
      <c r="AS130" s="81"/>
    </row>
    <row r="131" spans="1:45" x14ac:dyDescent="0.2">
      <c r="B131" s="50"/>
      <c r="C131" s="50" t="s">
        <v>218</v>
      </c>
      <c r="D131" s="50"/>
      <c r="E131" s="50"/>
      <c r="F131" s="50"/>
      <c r="G131" s="50"/>
      <c r="H131" s="50"/>
      <c r="I131" s="96">
        <f>I115</f>
        <v>1.75</v>
      </c>
      <c r="J131" s="97" t="str">
        <f>IF(UnitsOfMeasure="Metric","mm","inch")</f>
        <v>inch</v>
      </c>
      <c r="K131" s="125">
        <f>I131</f>
        <v>1.75</v>
      </c>
      <c r="L131" s="126"/>
      <c r="M131" s="125">
        <f>K131</f>
        <v>1.75</v>
      </c>
      <c r="N131" s="126"/>
      <c r="O131" s="125">
        <f>K131</f>
        <v>1.75</v>
      </c>
      <c r="P131" s="89"/>
      <c r="Q131" s="298"/>
      <c r="R131" s="84" t="str">
        <f>IF(T$30=$B$23,"Required","Not Required")</f>
        <v>Not Required</v>
      </c>
      <c r="S131" s="89"/>
      <c r="T131" s="90">
        <f>IF(R131="Not Required",0,IF(UnitsOfMeasure="Metric",K131,K131*$U$11))</f>
        <v>0</v>
      </c>
      <c r="U131" s="91" t="s">
        <v>247</v>
      </c>
      <c r="V131" s="50"/>
      <c r="W131" s="90">
        <f>IF(R131="Not Required",0,IF(UnitsOfMeasure="Imperial",K131,K131/$U$11))</f>
        <v>0</v>
      </c>
      <c r="X131" s="91" t="s">
        <v>250</v>
      </c>
      <c r="Y131" s="87"/>
      <c r="Z131" s="88"/>
      <c r="AA131" s="84" t="str">
        <f>IF(AC$30=$B$23,"Required","Not Required")</f>
        <v>Not Required</v>
      </c>
      <c r="AB131" s="89"/>
      <c r="AC131" s="90">
        <f>IF(AA131="Not Required",0,IF(UnitsOfMeasure="Metric",M131,M131*$U$11))</f>
        <v>0</v>
      </c>
      <c r="AD131" s="91" t="s">
        <v>247</v>
      </c>
      <c r="AE131" s="50"/>
      <c r="AF131" s="90">
        <f>IF(AA131="Not Required",0,IF(UnitsOfMeasure="Imperial",M131,M131/$U$11))</f>
        <v>0</v>
      </c>
      <c r="AG131" s="91" t="s">
        <v>250</v>
      </c>
      <c r="AH131" s="87"/>
      <c r="AI131" s="88"/>
      <c r="AJ131" s="84" t="str">
        <f>IF(AL$30=$B$23,"Required","Not Required")</f>
        <v>Required</v>
      </c>
      <c r="AK131" s="89"/>
      <c r="AL131" s="90">
        <f>IF(AJ131="Not Required",0,IF(UnitsOfMeasure="Metric",O131,O131*$U$11))</f>
        <v>44.449999999999996</v>
      </c>
      <c r="AM131" s="91" t="s">
        <v>247</v>
      </c>
      <c r="AN131" s="50"/>
      <c r="AO131" s="90">
        <f>IF(AJ131="Not Required",0,IF(UnitsOfMeasure="Imperial",O131,O131/$U$11))</f>
        <v>1.75</v>
      </c>
      <c r="AP131" s="91" t="s">
        <v>250</v>
      </c>
      <c r="AQ131" s="87"/>
      <c r="AR131" s="92"/>
      <c r="AS131" s="80" t="s">
        <v>254</v>
      </c>
    </row>
    <row r="132" spans="1:45" ht="3" customHeight="1" x14ac:dyDescent="0.2">
      <c r="B132" s="50"/>
      <c r="C132" s="50"/>
      <c r="D132" s="50"/>
      <c r="E132" s="50"/>
      <c r="F132" s="50"/>
      <c r="G132" s="50"/>
      <c r="H132" s="50"/>
      <c r="I132" s="96"/>
      <c r="J132" s="97"/>
      <c r="P132" s="89"/>
      <c r="Q132" s="298"/>
      <c r="R132" s="89"/>
      <c r="S132" s="89"/>
      <c r="Y132" s="87"/>
      <c r="Z132" s="88"/>
      <c r="AA132" s="89"/>
      <c r="AB132" s="89"/>
      <c r="AC132" s="58"/>
      <c r="AH132" s="87"/>
      <c r="AI132" s="88"/>
      <c r="AJ132" s="89"/>
      <c r="AK132" s="89"/>
      <c r="AL132" s="58"/>
      <c r="AQ132" s="87"/>
      <c r="AR132" s="92"/>
      <c r="AS132" s="81"/>
    </row>
    <row r="133" spans="1:45" x14ac:dyDescent="0.2">
      <c r="B133" s="50"/>
      <c r="C133" s="50" t="s">
        <v>219</v>
      </c>
      <c r="D133" s="50"/>
      <c r="E133" s="50"/>
      <c r="F133" s="50"/>
      <c r="G133" s="50"/>
      <c r="H133" s="50"/>
      <c r="I133" s="96">
        <f>IF(UnitsOfMeasure="Metric",ROUND(0.1*$U$13,2),0.1)</f>
        <v>0.1</v>
      </c>
      <c r="J133" s="97" t="str">
        <f>IF(UnitsOfMeasure="Metric","l / min","Gallons / min")</f>
        <v>Gallons / min</v>
      </c>
      <c r="K133" s="125">
        <f>I133</f>
        <v>0.1</v>
      </c>
      <c r="L133" s="126"/>
      <c r="M133" s="125">
        <f>K133</f>
        <v>0.1</v>
      </c>
      <c r="N133" s="126"/>
      <c r="O133" s="125">
        <f>K133</f>
        <v>0.1</v>
      </c>
      <c r="P133" s="89"/>
      <c r="Q133" s="298"/>
      <c r="R133" s="84" t="str">
        <f>IF(T$30=$B$23,"Required","Not Required")</f>
        <v>Not Required</v>
      </c>
      <c r="S133" s="89"/>
      <c r="T133" s="90">
        <f>IF(R133="Not Required",0,IF(UnitsOfMeasure="Metric",K133,K133*$U$13))</f>
        <v>0</v>
      </c>
      <c r="U133" s="91" t="s">
        <v>257</v>
      </c>
      <c r="V133" s="50"/>
      <c r="W133" s="90">
        <f>IF(R133="Not Required",0,IF(UnitsOfMeasure="Imperial",K133,K133/$U$13))</f>
        <v>0</v>
      </c>
      <c r="X133" s="91" t="s">
        <v>177</v>
      </c>
      <c r="Y133" s="87"/>
      <c r="Z133" s="88"/>
      <c r="AA133" s="84" t="str">
        <f>IF(AC$30=$B$23,"Required","Not Required")</f>
        <v>Not Required</v>
      </c>
      <c r="AB133" s="89"/>
      <c r="AC133" s="90">
        <f>IF(AA133="Not Required",0,IF(UnitsOfMeasure="Metric",M133,M133*$U$13))</f>
        <v>0</v>
      </c>
      <c r="AD133" s="91" t="s">
        <v>257</v>
      </c>
      <c r="AE133" s="50"/>
      <c r="AF133" s="90">
        <f>IF(AA133="Not Required",0,IF(UnitsOfMeasure="Imperial",M133,M133/$U$13))</f>
        <v>0</v>
      </c>
      <c r="AG133" s="91" t="s">
        <v>177</v>
      </c>
      <c r="AH133" s="87"/>
      <c r="AI133" s="88"/>
      <c r="AJ133" s="84" t="str">
        <f>IF(AL$30=$B$23,"Required","Not Required")</f>
        <v>Required</v>
      </c>
      <c r="AK133" s="89"/>
      <c r="AL133" s="90">
        <f>IF(AJ133="Not Required",0,IF(UnitsOfMeasure="Metric",O133,O133*$U$13))</f>
        <v>0.37854100000000002</v>
      </c>
      <c r="AM133" s="91" t="s">
        <v>257</v>
      </c>
      <c r="AN133" s="50"/>
      <c r="AO133" s="90">
        <f>IF(AJ133="Not Required",0,IF(UnitsOfMeasure="Imperial",O133,O133/$U$13))</f>
        <v>0.1</v>
      </c>
      <c r="AP133" s="91" t="s">
        <v>177</v>
      </c>
      <c r="AQ133" s="87"/>
      <c r="AR133" s="92"/>
      <c r="AS133" s="80" t="s">
        <v>254</v>
      </c>
    </row>
    <row r="134" spans="1:45" ht="3" customHeight="1" x14ac:dyDescent="0.2">
      <c r="B134" s="50"/>
      <c r="C134" s="50"/>
      <c r="D134" s="50"/>
      <c r="E134" s="50"/>
      <c r="F134" s="50"/>
      <c r="G134" s="50"/>
      <c r="H134" s="50"/>
      <c r="I134" s="96"/>
      <c r="J134" s="97"/>
      <c r="P134" s="89"/>
      <c r="Q134" s="298"/>
      <c r="R134" s="89"/>
      <c r="S134" s="89"/>
      <c r="Y134" s="87"/>
      <c r="Z134" s="88"/>
      <c r="AA134" s="89"/>
      <c r="AB134" s="89"/>
      <c r="AC134" s="58"/>
      <c r="AH134" s="87"/>
      <c r="AI134" s="88"/>
      <c r="AJ134" s="89"/>
      <c r="AK134" s="89"/>
      <c r="AL134" s="58"/>
      <c r="AQ134" s="87"/>
      <c r="AR134" s="92"/>
      <c r="AS134" s="81"/>
    </row>
    <row r="135" spans="1:45" x14ac:dyDescent="0.2">
      <c r="B135" s="50"/>
      <c r="C135" s="50" t="s">
        <v>220</v>
      </c>
      <c r="D135" s="50"/>
      <c r="E135" s="50"/>
      <c r="F135" s="50"/>
      <c r="G135" s="50"/>
      <c r="H135" s="50"/>
      <c r="I135" s="96" t="s">
        <v>221</v>
      </c>
      <c r="J135" s="101" t="s">
        <v>256</v>
      </c>
      <c r="K135" s="125" t="s">
        <v>221</v>
      </c>
      <c r="L135" s="126"/>
      <c r="M135" s="125" t="s">
        <v>221</v>
      </c>
      <c r="N135" s="126"/>
      <c r="O135" s="125" t="s">
        <v>221</v>
      </c>
      <c r="P135" s="89"/>
      <c r="Q135" s="298"/>
      <c r="R135" s="84" t="str">
        <f>IF(T$30=$B$23,"Required","Not Required")</f>
        <v>Not Required</v>
      </c>
      <c r="S135" s="89"/>
      <c r="T135" s="90">
        <f>IF(R135="Not Required",0,K135)</f>
        <v>0</v>
      </c>
      <c r="U135" s="102" t="s">
        <v>256</v>
      </c>
      <c r="V135" s="50"/>
      <c r="W135" s="90">
        <f>IF(R135="Not Required",0,K135)</f>
        <v>0</v>
      </c>
      <c r="X135" s="102" t="s">
        <v>256</v>
      </c>
      <c r="Y135" s="87"/>
      <c r="Z135" s="88"/>
      <c r="AA135" s="84" t="str">
        <f>IF(AC$30=$B$23,"Required","Not Required")</f>
        <v>Not Required</v>
      </c>
      <c r="AB135" s="89"/>
      <c r="AC135" s="90">
        <f>IF(AA135="Not Required",0,M135)</f>
        <v>0</v>
      </c>
      <c r="AD135" s="102" t="s">
        <v>256</v>
      </c>
      <c r="AE135" s="50"/>
      <c r="AF135" s="90">
        <f>IF(AA135="Not Required",0,M135)</f>
        <v>0</v>
      </c>
      <c r="AG135" s="102" t="s">
        <v>256</v>
      </c>
      <c r="AH135" s="87"/>
      <c r="AI135" s="88"/>
      <c r="AJ135" s="84" t="str">
        <f>IF(AL$30=$B$23,"Required","Not Required")</f>
        <v>Required</v>
      </c>
      <c r="AK135" s="89"/>
      <c r="AL135" s="90" t="str">
        <f>IF(AJ135="Not Required",0,O135)</f>
        <v>Water</v>
      </c>
      <c r="AM135" s="102" t="s">
        <v>256</v>
      </c>
      <c r="AN135" s="50"/>
      <c r="AO135" s="90" t="str">
        <f>IF(AJ135="Not Required",0,O135)</f>
        <v>Water</v>
      </c>
      <c r="AP135" s="102" t="s">
        <v>256</v>
      </c>
      <c r="AQ135" s="87"/>
      <c r="AR135" s="92"/>
      <c r="AS135" s="80" t="s">
        <v>254</v>
      </c>
    </row>
    <row r="136" spans="1:45" ht="3" customHeight="1" x14ac:dyDescent="0.2">
      <c r="B136" s="50"/>
      <c r="C136" s="50"/>
      <c r="D136" s="50"/>
      <c r="E136" s="50"/>
      <c r="F136" s="50"/>
      <c r="G136" s="50"/>
      <c r="H136" s="50"/>
      <c r="I136" s="96"/>
      <c r="J136" s="97"/>
      <c r="P136" s="89"/>
      <c r="Q136" s="298"/>
      <c r="R136" s="89"/>
      <c r="S136" s="89"/>
      <c r="Y136" s="87"/>
      <c r="Z136" s="88"/>
      <c r="AA136" s="89"/>
      <c r="AB136" s="89"/>
      <c r="AC136" s="58"/>
      <c r="AH136" s="87"/>
      <c r="AI136" s="88"/>
      <c r="AJ136" s="89"/>
      <c r="AK136" s="89"/>
      <c r="AL136" s="58"/>
      <c r="AQ136" s="87"/>
      <c r="AR136" s="92"/>
      <c r="AS136" s="81"/>
    </row>
    <row r="137" spans="1:45" ht="14.25" hidden="1" customHeight="1" x14ac:dyDescent="0.2">
      <c r="A137" s="62" t="s">
        <v>263</v>
      </c>
      <c r="B137" s="50"/>
      <c r="C137" s="262" t="s">
        <v>475</v>
      </c>
      <c r="D137" s="50"/>
      <c r="E137" s="50"/>
      <c r="F137" s="50"/>
      <c r="G137" s="50"/>
      <c r="H137" s="50"/>
      <c r="I137" s="96"/>
      <c r="J137" s="97"/>
      <c r="P137" s="89"/>
      <c r="Q137" s="298"/>
      <c r="R137" s="89"/>
      <c r="S137" s="89"/>
      <c r="T137" s="90" t="e">
        <f>VLOOKUP(T$135,ASSUMPTIONS!$B$101:$K$109,3,FALSE)</f>
        <v>#N/A</v>
      </c>
      <c r="U137" s="102" t="s">
        <v>428</v>
      </c>
      <c r="W137" s="90" t="e">
        <f>VLOOKUP(W$135,ASSUMPTIONS!$B$101:$K$109,2,FALSE)</f>
        <v>#N/A</v>
      </c>
      <c r="X137" s="102" t="s">
        <v>427</v>
      </c>
      <c r="Y137" s="87"/>
      <c r="Z137" s="88"/>
      <c r="AA137" s="89"/>
      <c r="AB137" s="89"/>
      <c r="AC137" s="90" t="e">
        <f>VLOOKUP(AC$135,ASSUMPTIONS!$B$101:$K$109,3,FALSE)</f>
        <v>#N/A</v>
      </c>
      <c r="AD137" s="102" t="s">
        <v>428</v>
      </c>
      <c r="AF137" s="90" t="e">
        <f>VLOOKUP(AF$135,ASSUMPTIONS!$B$101:$K$109,2,FALSE)</f>
        <v>#N/A</v>
      </c>
      <c r="AG137" s="102" t="s">
        <v>427</v>
      </c>
      <c r="AH137" s="87"/>
      <c r="AI137" s="88"/>
      <c r="AJ137" s="89"/>
      <c r="AK137" s="89"/>
      <c r="AL137" s="90">
        <f>VLOOKUP(AL$135,ASSUMPTIONS!$B$101:$K$109,3,FALSE)</f>
        <v>4.1867999999999999</v>
      </c>
      <c r="AM137" s="102" t="s">
        <v>428</v>
      </c>
      <c r="AO137" s="90">
        <f>VLOOKUP(AO$135,ASSUMPTIONS!$B$101:$K$109,2,FALSE)</f>
        <v>1</v>
      </c>
      <c r="AP137" s="102" t="s">
        <v>427</v>
      </c>
      <c r="AQ137" s="87"/>
      <c r="AR137" s="92"/>
      <c r="AS137" s="80" t="s">
        <v>254</v>
      </c>
    </row>
    <row r="138" spans="1:45" ht="3" hidden="1" customHeight="1" x14ac:dyDescent="0.2">
      <c r="A138" s="62"/>
      <c r="B138" s="50"/>
      <c r="C138" s="50"/>
      <c r="D138" s="50"/>
      <c r="E138" s="50"/>
      <c r="F138" s="50"/>
      <c r="G138" s="50"/>
      <c r="H138" s="50"/>
      <c r="I138" s="96"/>
      <c r="J138" s="97"/>
      <c r="P138" s="89"/>
      <c r="Q138" s="298"/>
      <c r="R138" s="89"/>
      <c r="S138" s="89"/>
      <c r="W138" s="58"/>
      <c r="Y138" s="87"/>
      <c r="Z138" s="88"/>
      <c r="AA138" s="89"/>
      <c r="AB138" s="89"/>
      <c r="AC138" s="58"/>
      <c r="AF138" s="58"/>
      <c r="AH138" s="87"/>
      <c r="AI138" s="88"/>
      <c r="AJ138" s="89"/>
      <c r="AK138" s="89"/>
      <c r="AL138" s="58"/>
      <c r="AO138" s="58"/>
      <c r="AQ138" s="87"/>
      <c r="AR138" s="92"/>
      <c r="AS138" s="81"/>
    </row>
    <row r="139" spans="1:45" ht="14.25" hidden="1" customHeight="1" x14ac:dyDescent="0.2">
      <c r="A139" s="62" t="s">
        <v>263</v>
      </c>
      <c r="B139" s="50"/>
      <c r="C139" s="262" t="s">
        <v>479</v>
      </c>
      <c r="D139" s="50"/>
      <c r="E139" s="50"/>
      <c r="F139" s="50"/>
      <c r="G139" s="50"/>
      <c r="H139" s="50"/>
      <c r="I139" s="96"/>
      <c r="J139" s="97"/>
      <c r="P139" s="89"/>
      <c r="Q139" s="298"/>
      <c r="R139" s="89"/>
      <c r="S139" s="89"/>
      <c r="T139" s="90" t="e">
        <f>VLOOKUP(T$135,ASSUMPTIONS!$B$101:$K$109,4,FALSE)</f>
        <v>#N/A</v>
      </c>
      <c r="U139" s="102" t="s">
        <v>256</v>
      </c>
      <c r="W139" s="90" t="e">
        <f>VLOOKUP(W$135,ASSUMPTIONS!$B$101:$K$109,4,FALSE)</f>
        <v>#N/A</v>
      </c>
      <c r="X139" s="102" t="s">
        <v>256</v>
      </c>
      <c r="Y139" s="87"/>
      <c r="Z139" s="88"/>
      <c r="AA139" s="89"/>
      <c r="AB139" s="89"/>
      <c r="AC139" s="90" t="e">
        <f>VLOOKUP(AC$135,ASSUMPTIONS!$B$101:$K$109,4,FALSE)</f>
        <v>#N/A</v>
      </c>
      <c r="AD139" s="102" t="s">
        <v>256</v>
      </c>
      <c r="AF139" s="90" t="e">
        <f>VLOOKUP(AF$135,ASSUMPTIONS!$B$101:$K$109,4,FALSE)</f>
        <v>#N/A</v>
      </c>
      <c r="AG139" s="102" t="s">
        <v>256</v>
      </c>
      <c r="AH139" s="87"/>
      <c r="AI139" s="88"/>
      <c r="AJ139" s="89"/>
      <c r="AK139" s="89"/>
      <c r="AL139" s="90">
        <f>VLOOKUP(AL$135,ASSUMPTIONS!$B$101:$K$109,4,FALSE)</f>
        <v>1</v>
      </c>
      <c r="AM139" s="102" t="s">
        <v>256</v>
      </c>
      <c r="AO139" s="90">
        <f>VLOOKUP(AO$135,ASSUMPTIONS!$B$101:$K$109,4,FALSE)</f>
        <v>1</v>
      </c>
      <c r="AP139" s="102" t="s">
        <v>256</v>
      </c>
      <c r="AQ139" s="87"/>
      <c r="AR139" s="92"/>
      <c r="AS139" s="80" t="s">
        <v>254</v>
      </c>
    </row>
    <row r="140" spans="1:45" ht="3" hidden="1" customHeight="1" x14ac:dyDescent="0.2">
      <c r="A140" s="62"/>
      <c r="B140" s="50"/>
      <c r="C140" s="262"/>
      <c r="D140" s="50"/>
      <c r="E140" s="50"/>
      <c r="F140" s="50"/>
      <c r="G140" s="50"/>
      <c r="H140" s="50"/>
      <c r="I140" s="96"/>
      <c r="J140" s="97"/>
      <c r="P140" s="89"/>
      <c r="Q140" s="298"/>
      <c r="R140" s="89"/>
      <c r="S140" s="89"/>
      <c r="W140" s="58"/>
      <c r="Y140" s="87"/>
      <c r="Z140" s="88"/>
      <c r="AA140" s="89"/>
      <c r="AB140" s="89"/>
      <c r="AC140" s="58"/>
      <c r="AF140" s="58"/>
      <c r="AH140" s="87"/>
      <c r="AI140" s="88"/>
      <c r="AJ140" s="89"/>
      <c r="AK140" s="89"/>
      <c r="AL140" s="58"/>
      <c r="AO140" s="58"/>
      <c r="AQ140" s="87"/>
      <c r="AR140" s="92"/>
      <c r="AS140" s="81"/>
    </row>
    <row r="141" spans="1:45" ht="14.25" hidden="1" customHeight="1" x14ac:dyDescent="0.2">
      <c r="A141" s="62" t="s">
        <v>263</v>
      </c>
      <c r="B141" s="50"/>
      <c r="C141" s="262" t="s">
        <v>476</v>
      </c>
      <c r="D141" s="50"/>
      <c r="E141" s="50"/>
      <c r="F141" s="50"/>
      <c r="G141" s="50"/>
      <c r="H141" s="50"/>
      <c r="I141" s="96"/>
      <c r="J141" s="97"/>
      <c r="P141" s="89"/>
      <c r="Q141" s="298"/>
      <c r="R141" s="89"/>
      <c r="S141" s="89"/>
      <c r="T141" s="90" t="e">
        <f>VLOOKUP(T$135,ASSUMPTIONS!$B$101:$K$109,6,FALSE)</f>
        <v>#N/A</v>
      </c>
      <c r="U141" s="102" t="s">
        <v>429</v>
      </c>
      <c r="W141" s="90" t="e">
        <f>VLOOKUP(W$135,ASSUMPTIONS!$B$101:$K$109,5,FALSE)</f>
        <v>#N/A</v>
      </c>
      <c r="X141" s="102" t="s">
        <v>412</v>
      </c>
      <c r="Y141" s="87"/>
      <c r="Z141" s="88"/>
      <c r="AA141" s="89"/>
      <c r="AB141" s="89"/>
      <c r="AC141" s="90" t="e">
        <f>VLOOKUP(AC$135,ASSUMPTIONS!$B$101:$K$109,6,FALSE)</f>
        <v>#N/A</v>
      </c>
      <c r="AD141" s="102" t="s">
        <v>429</v>
      </c>
      <c r="AF141" s="90" t="e">
        <f>VLOOKUP(AF$135,ASSUMPTIONS!$B$101:$K$109,5,FALSE)</f>
        <v>#N/A</v>
      </c>
      <c r="AG141" s="102" t="s">
        <v>412</v>
      </c>
      <c r="AH141" s="87"/>
      <c r="AI141" s="88"/>
      <c r="AJ141" s="89"/>
      <c r="AK141" s="89"/>
      <c r="AL141" s="90">
        <f>VLOOKUP(AL$135,ASSUMPTIONS!$B$101:$K$109,6,FALSE)</f>
        <v>1</v>
      </c>
      <c r="AM141" s="102" t="s">
        <v>429</v>
      </c>
      <c r="AO141" s="90">
        <f>VLOOKUP(AO$135,ASSUMPTIONS!$B$101:$K$109,5,FALSE)</f>
        <v>8.3453905941999995</v>
      </c>
      <c r="AP141" s="102" t="s">
        <v>412</v>
      </c>
      <c r="AQ141" s="87"/>
      <c r="AR141" s="92"/>
      <c r="AS141" s="80" t="s">
        <v>254</v>
      </c>
    </row>
    <row r="142" spans="1:45" ht="3" hidden="1" customHeight="1" x14ac:dyDescent="0.2">
      <c r="A142" s="62"/>
      <c r="B142" s="50"/>
      <c r="C142" s="262"/>
      <c r="D142" s="50"/>
      <c r="E142" s="50"/>
      <c r="F142" s="50"/>
      <c r="G142" s="50"/>
      <c r="H142" s="50"/>
      <c r="I142" s="96"/>
      <c r="J142" s="97"/>
      <c r="P142" s="89"/>
      <c r="Q142" s="298"/>
      <c r="R142" s="89"/>
      <c r="S142" s="89"/>
      <c r="W142" s="58"/>
      <c r="Y142" s="87"/>
      <c r="Z142" s="88"/>
      <c r="AA142" s="89"/>
      <c r="AB142" s="89"/>
      <c r="AC142" s="58"/>
      <c r="AF142" s="58"/>
      <c r="AH142" s="87"/>
      <c r="AI142" s="88"/>
      <c r="AJ142" s="89"/>
      <c r="AK142" s="89"/>
      <c r="AL142" s="58"/>
      <c r="AO142" s="58"/>
      <c r="AQ142" s="87"/>
      <c r="AR142" s="92"/>
      <c r="AS142" s="81"/>
    </row>
    <row r="143" spans="1:45" ht="14.25" hidden="1" customHeight="1" x14ac:dyDescent="0.2">
      <c r="A143" s="62" t="s">
        <v>263</v>
      </c>
      <c r="B143" s="50"/>
      <c r="C143" s="262" t="s">
        <v>477</v>
      </c>
      <c r="D143" s="50"/>
      <c r="E143" s="50"/>
      <c r="F143" s="50"/>
      <c r="G143" s="50"/>
      <c r="H143" s="50"/>
      <c r="I143" s="96"/>
      <c r="J143" s="97"/>
      <c r="P143" s="89"/>
      <c r="Q143" s="298"/>
      <c r="R143" s="89"/>
      <c r="S143" s="89"/>
      <c r="T143" s="90" t="e">
        <f>VLOOKUP(T$135,ASSUMPTIONS!$B$101:$K$109,8,FALSE)</f>
        <v>#N/A</v>
      </c>
      <c r="U143" s="102" t="s">
        <v>414</v>
      </c>
      <c r="W143" s="90" t="e">
        <f>VLOOKUP(W$135,ASSUMPTIONS!$B$101:$K$109,7,FALSE)</f>
        <v>#N/A</v>
      </c>
      <c r="X143" s="102" t="s">
        <v>413</v>
      </c>
      <c r="Y143" s="87"/>
      <c r="Z143" s="88"/>
      <c r="AA143" s="89"/>
      <c r="AB143" s="89"/>
      <c r="AC143" s="90" t="e">
        <f>VLOOKUP(AC$135,ASSUMPTIONS!$B$101:$K$109,8,FALSE)</f>
        <v>#N/A</v>
      </c>
      <c r="AD143" s="102" t="s">
        <v>414</v>
      </c>
      <c r="AF143" s="90" t="e">
        <f>VLOOKUP(AF$135,ASSUMPTIONS!$B$101:$K$109,7,FALSE)</f>
        <v>#N/A</v>
      </c>
      <c r="AG143" s="102" t="s">
        <v>413</v>
      </c>
      <c r="AH143" s="87"/>
      <c r="AI143" s="88"/>
      <c r="AJ143" s="89"/>
      <c r="AK143" s="89"/>
      <c r="AL143" s="90">
        <f>VLOOKUP(AL$135,ASSUMPTIONS!$B$101:$K$109,8,FALSE)</f>
        <v>2257</v>
      </c>
      <c r="AM143" s="102" t="s">
        <v>414</v>
      </c>
      <c r="AO143" s="90">
        <f>VLOOKUP(AO$135,ASSUMPTIONS!$B$101:$K$109,7,FALSE)</f>
        <v>970.33621100000005</v>
      </c>
      <c r="AP143" s="102" t="s">
        <v>413</v>
      </c>
      <c r="AQ143" s="87"/>
      <c r="AR143" s="92"/>
      <c r="AS143" s="80" t="s">
        <v>254</v>
      </c>
    </row>
    <row r="144" spans="1:45" ht="3" hidden="1" customHeight="1" x14ac:dyDescent="0.2">
      <c r="A144" s="62"/>
      <c r="B144" s="50"/>
      <c r="C144" s="262"/>
      <c r="D144" s="50"/>
      <c r="E144" s="50"/>
      <c r="F144" s="50"/>
      <c r="G144" s="50"/>
      <c r="H144" s="50"/>
      <c r="I144" s="96"/>
      <c r="J144" s="97"/>
      <c r="P144" s="89"/>
      <c r="Q144" s="298"/>
      <c r="R144" s="89"/>
      <c r="S144" s="89"/>
      <c r="W144" s="58"/>
      <c r="Y144" s="87"/>
      <c r="Z144" s="88"/>
      <c r="AA144" s="89"/>
      <c r="AB144" s="89"/>
      <c r="AC144" s="58"/>
      <c r="AF144" s="58"/>
      <c r="AH144" s="87"/>
      <c r="AI144" s="88"/>
      <c r="AJ144" s="89"/>
      <c r="AK144" s="89"/>
      <c r="AL144" s="58"/>
      <c r="AO144" s="58"/>
      <c r="AQ144" s="87"/>
      <c r="AR144" s="92"/>
      <c r="AS144" s="81"/>
    </row>
    <row r="145" spans="1:45" ht="14.25" hidden="1" customHeight="1" x14ac:dyDescent="0.2">
      <c r="A145" s="62" t="s">
        <v>263</v>
      </c>
      <c r="B145" s="50"/>
      <c r="C145" s="262" t="s">
        <v>478</v>
      </c>
      <c r="D145" s="50"/>
      <c r="E145" s="50"/>
      <c r="F145" s="50"/>
      <c r="G145" s="50"/>
      <c r="H145" s="50"/>
      <c r="I145" s="96"/>
      <c r="J145" s="97"/>
      <c r="P145" s="89"/>
      <c r="Q145" s="298"/>
      <c r="R145" s="89"/>
      <c r="S145" s="89"/>
      <c r="T145" s="90" t="e">
        <f>VLOOKUP(T$135,ASSUMPTIONS!$B$101:$K$109,10,FALSE)</f>
        <v>#N/A</v>
      </c>
      <c r="U145" s="102" t="s">
        <v>249</v>
      </c>
      <c r="W145" s="90" t="e">
        <f>VLOOKUP(W$135,ASSUMPTIONS!$B$101:$K$109,9,FALSE)</f>
        <v>#N/A</v>
      </c>
      <c r="X145" s="102" t="s">
        <v>204</v>
      </c>
      <c r="Y145" s="87"/>
      <c r="Z145" s="88"/>
      <c r="AA145" s="89"/>
      <c r="AB145" s="89"/>
      <c r="AC145" s="90" t="e">
        <f>VLOOKUP(AC$135,ASSUMPTIONS!$B$101:$K$109,10,FALSE)</f>
        <v>#N/A</v>
      </c>
      <c r="AD145" s="102" t="s">
        <v>249</v>
      </c>
      <c r="AF145" s="90" t="e">
        <f>VLOOKUP(AF$135,ASSUMPTIONS!$B$101:$K$109,9,FALSE)</f>
        <v>#N/A</v>
      </c>
      <c r="AG145" s="102" t="s">
        <v>204</v>
      </c>
      <c r="AH145" s="87"/>
      <c r="AI145" s="88"/>
      <c r="AJ145" s="89"/>
      <c r="AK145" s="89"/>
      <c r="AL145" s="90">
        <f>VLOOKUP(AL$135,ASSUMPTIONS!$B$101:$K$109,10,FALSE)</f>
        <v>100</v>
      </c>
      <c r="AM145" s="102" t="s">
        <v>249</v>
      </c>
      <c r="AO145" s="90">
        <f>VLOOKUP(AO$135,ASSUMPTIONS!$B$101:$K$109,9,FALSE)</f>
        <v>212</v>
      </c>
      <c r="AP145" s="102" t="s">
        <v>204</v>
      </c>
      <c r="AQ145" s="87"/>
      <c r="AR145" s="92"/>
      <c r="AS145" s="80" t="s">
        <v>254</v>
      </c>
    </row>
    <row r="146" spans="1:45" ht="3" hidden="1" customHeight="1" x14ac:dyDescent="0.2">
      <c r="A146" s="62"/>
      <c r="B146" s="50"/>
      <c r="C146" s="50"/>
      <c r="D146" s="50"/>
      <c r="E146" s="50"/>
      <c r="F146" s="50"/>
      <c r="G146" s="50"/>
      <c r="H146" s="50"/>
      <c r="I146" s="96"/>
      <c r="J146" s="97"/>
      <c r="P146" s="89"/>
      <c r="Q146" s="298"/>
      <c r="R146" s="89"/>
      <c r="S146" s="89"/>
      <c r="Y146" s="87"/>
      <c r="Z146" s="88"/>
      <c r="AA146" s="89"/>
      <c r="AB146" s="89"/>
      <c r="AC146" s="58"/>
      <c r="AH146" s="87"/>
      <c r="AI146" s="88"/>
      <c r="AJ146" s="89"/>
      <c r="AK146" s="89"/>
      <c r="AL146" s="58"/>
      <c r="AQ146" s="87"/>
      <c r="AR146" s="92"/>
      <c r="AS146" s="81"/>
    </row>
    <row r="147" spans="1:45" x14ac:dyDescent="0.2">
      <c r="B147" s="50"/>
      <c r="C147" s="50" t="s">
        <v>222</v>
      </c>
      <c r="D147" s="50"/>
      <c r="E147" s="50"/>
      <c r="F147" s="50"/>
      <c r="G147" s="50"/>
      <c r="H147" s="50"/>
      <c r="I147" s="96">
        <f>IF(UnitsOfMeasure="Metric",20,70)</f>
        <v>70</v>
      </c>
      <c r="J147" s="97" t="str">
        <f>IF(UnitsOfMeasure="Metric","°C","°F")</f>
        <v>°F</v>
      </c>
      <c r="K147" s="125">
        <f>I147</f>
        <v>70</v>
      </c>
      <c r="L147" s="126"/>
      <c r="M147" s="125">
        <f>K147</f>
        <v>70</v>
      </c>
      <c r="N147" s="126"/>
      <c r="O147" s="125">
        <f>K147</f>
        <v>70</v>
      </c>
      <c r="P147" s="89"/>
      <c r="Q147" s="298"/>
      <c r="R147" s="84" t="str">
        <f>IF(T$30=$B$23,"Required","Not Required")</f>
        <v>Not Required</v>
      </c>
      <c r="S147" s="89"/>
      <c r="T147" s="90">
        <f>IF(R147="Not Required",0,IF(UnitsOfMeasure="Metric",K147,(K147-32)*5/9))</f>
        <v>0</v>
      </c>
      <c r="U147" s="91" t="s">
        <v>249</v>
      </c>
      <c r="V147" s="50"/>
      <c r="W147" s="90">
        <f>IF(R147="Not Required",0,IF(UnitsOfMeasure="Imperial",K147,(K147*9/5+32)))</f>
        <v>0</v>
      </c>
      <c r="X147" s="91" t="s">
        <v>204</v>
      </c>
      <c r="Y147" s="87"/>
      <c r="Z147" s="88"/>
      <c r="AA147" s="84" t="str">
        <f>IF(AC$30=$B$23,"Required","Not Required")</f>
        <v>Not Required</v>
      </c>
      <c r="AB147" s="89"/>
      <c r="AC147" s="90">
        <f>IF(AA147="Not Required",0,IF(UnitsOfMeasure="Metric",M147,(M147-32)*5/9))</f>
        <v>0</v>
      </c>
      <c r="AD147" s="91" t="s">
        <v>249</v>
      </c>
      <c r="AE147" s="50"/>
      <c r="AF147" s="90">
        <f>IF(AA147="Not Required",0,IF(UnitsOfMeasure="Imperial",M147,(M147*9/5+32)))</f>
        <v>0</v>
      </c>
      <c r="AG147" s="91" t="s">
        <v>204</v>
      </c>
      <c r="AH147" s="87"/>
      <c r="AI147" s="88"/>
      <c r="AJ147" s="84" t="str">
        <f>IF(AL$30=$B$23,"Required","Not Required")</f>
        <v>Required</v>
      </c>
      <c r="AK147" s="89"/>
      <c r="AL147" s="90">
        <f>IF(AJ147="Not Required",0,IF(UnitsOfMeasure="Metric",O147,(O147-32)*5/9))</f>
        <v>21.111111111111111</v>
      </c>
      <c r="AM147" s="91" t="s">
        <v>249</v>
      </c>
      <c r="AN147" s="50"/>
      <c r="AO147" s="90">
        <f>IF(AJ147="Not Required",0,IF(UnitsOfMeasure="Imperial",O147,(O147*9/5+32)))</f>
        <v>70</v>
      </c>
      <c r="AP147" s="91" t="s">
        <v>204</v>
      </c>
      <c r="AQ147" s="87"/>
      <c r="AR147" s="92"/>
      <c r="AS147" s="80" t="s">
        <v>254</v>
      </c>
    </row>
    <row r="148" spans="1:45" ht="3" customHeight="1" x14ac:dyDescent="0.2">
      <c r="B148" s="50"/>
      <c r="C148" s="50"/>
      <c r="D148" s="50"/>
      <c r="E148" s="50"/>
      <c r="F148" s="50"/>
      <c r="G148" s="50"/>
      <c r="H148" s="50"/>
      <c r="I148" s="96"/>
      <c r="J148" s="97"/>
      <c r="P148" s="89"/>
      <c r="Q148" s="298"/>
      <c r="R148" s="89"/>
      <c r="S148" s="89"/>
      <c r="Y148" s="87"/>
      <c r="Z148" s="88"/>
      <c r="AA148" s="89"/>
      <c r="AB148" s="89"/>
      <c r="AC148" s="58"/>
      <c r="AH148" s="87"/>
      <c r="AI148" s="88"/>
      <c r="AJ148" s="89"/>
      <c r="AK148" s="89"/>
      <c r="AL148" s="58"/>
      <c r="AQ148" s="87"/>
      <c r="AR148" s="92"/>
      <c r="AS148" s="81"/>
    </row>
    <row r="149" spans="1:45" x14ac:dyDescent="0.2">
      <c r="B149" s="50"/>
      <c r="C149" s="50" t="s">
        <v>223</v>
      </c>
      <c r="D149" s="50"/>
      <c r="E149" s="50"/>
      <c r="F149" s="50"/>
      <c r="G149" s="50"/>
      <c r="H149" s="50"/>
      <c r="I149" s="98">
        <v>0.6</v>
      </c>
      <c r="J149" s="97" t="s">
        <v>258</v>
      </c>
      <c r="K149" s="127">
        <f>I149</f>
        <v>0.6</v>
      </c>
      <c r="L149" s="126"/>
      <c r="M149" s="127">
        <f>K149</f>
        <v>0.6</v>
      </c>
      <c r="N149" s="126"/>
      <c r="O149" s="127">
        <f>K149</f>
        <v>0.6</v>
      </c>
      <c r="P149" s="89"/>
      <c r="Q149" s="298"/>
      <c r="R149" s="84" t="str">
        <f>IF(T$30=$B$23,"Required","Not Required")</f>
        <v>Not Required</v>
      </c>
      <c r="S149" s="89"/>
      <c r="T149" s="99">
        <f>IF(R149="Not Required",0,K149)</f>
        <v>0</v>
      </c>
      <c r="U149" s="91" t="s">
        <v>224</v>
      </c>
      <c r="V149" s="50"/>
      <c r="W149" s="99">
        <f>IF(R149="Not Required",0,K149)</f>
        <v>0</v>
      </c>
      <c r="X149" s="91" t="s">
        <v>224</v>
      </c>
      <c r="Y149" s="87"/>
      <c r="Z149" s="88"/>
      <c r="AA149" s="84" t="str">
        <f>IF(AC$30=$B$23,"Required","Not Required")</f>
        <v>Not Required</v>
      </c>
      <c r="AB149" s="89"/>
      <c r="AC149" s="99">
        <f>IF(AA149="Not Required",0,M149)</f>
        <v>0</v>
      </c>
      <c r="AD149" s="91" t="s">
        <v>224</v>
      </c>
      <c r="AE149" s="50"/>
      <c r="AF149" s="99">
        <f>IF(AA149="Not Required",0,M149)</f>
        <v>0</v>
      </c>
      <c r="AG149" s="91" t="s">
        <v>224</v>
      </c>
      <c r="AH149" s="87"/>
      <c r="AI149" s="88"/>
      <c r="AJ149" s="84" t="str">
        <f>IF(AL$30=$B$23,"Required","Not Required")</f>
        <v>Required</v>
      </c>
      <c r="AK149" s="89"/>
      <c r="AL149" s="99">
        <f>IF(AJ149="Not Required",0,O149)</f>
        <v>0.6</v>
      </c>
      <c r="AM149" s="91" t="s">
        <v>224</v>
      </c>
      <c r="AN149" s="50"/>
      <c r="AO149" s="99">
        <f>IF(AJ149="Not Required",0,O149)</f>
        <v>0.6</v>
      </c>
      <c r="AP149" s="91" t="s">
        <v>224</v>
      </c>
      <c r="AQ149" s="87"/>
      <c r="AR149" s="92"/>
      <c r="AS149" s="80" t="s">
        <v>254</v>
      </c>
    </row>
    <row r="150" spans="1:45" ht="3" customHeight="1" x14ac:dyDescent="0.2">
      <c r="B150" s="50"/>
      <c r="C150" s="50"/>
      <c r="D150" s="50"/>
      <c r="E150" s="50"/>
      <c r="F150" s="50"/>
      <c r="G150" s="50"/>
      <c r="H150" s="50"/>
      <c r="I150" s="96"/>
      <c r="J150" s="97"/>
      <c r="P150" s="89"/>
      <c r="Q150" s="298"/>
      <c r="R150" s="89"/>
      <c r="S150" s="89"/>
      <c r="Y150" s="87"/>
      <c r="Z150" s="88"/>
      <c r="AA150" s="89"/>
      <c r="AB150" s="89"/>
      <c r="AC150" s="58"/>
      <c r="AH150" s="87"/>
      <c r="AI150" s="88"/>
      <c r="AJ150" s="89"/>
      <c r="AK150" s="89"/>
      <c r="AL150" s="58"/>
      <c r="AQ150" s="87"/>
      <c r="AR150" s="92"/>
      <c r="AS150" s="81"/>
    </row>
    <row r="151" spans="1:45" x14ac:dyDescent="0.2">
      <c r="B151" s="50"/>
      <c r="C151" s="50" t="s">
        <v>225</v>
      </c>
      <c r="D151" s="50"/>
      <c r="E151" s="50"/>
      <c r="F151" s="50"/>
      <c r="G151" s="50"/>
      <c r="H151" s="50"/>
      <c r="I151" s="96">
        <v>36</v>
      </c>
      <c r="J151" s="97" t="s">
        <v>208</v>
      </c>
      <c r="K151" s="125">
        <f>I151</f>
        <v>36</v>
      </c>
      <c r="L151" s="126"/>
      <c r="M151" s="125">
        <f>K151</f>
        <v>36</v>
      </c>
      <c r="N151" s="126"/>
      <c r="O151" s="125">
        <f>K151</f>
        <v>36</v>
      </c>
      <c r="P151" s="89"/>
      <c r="Q151" s="298"/>
      <c r="R151" s="84" t="str">
        <f>IF(T$30=$B$23,"Required","Not Required")</f>
        <v>Not Required</v>
      </c>
      <c r="S151" s="89"/>
      <c r="T151" s="90">
        <f>IF(R151="Not Required",0,K151)</f>
        <v>0</v>
      </c>
      <c r="U151" s="91" t="s">
        <v>252</v>
      </c>
      <c r="V151" s="50"/>
      <c r="W151" s="90">
        <f>IF(R151="Not Required",0,K151)</f>
        <v>0</v>
      </c>
      <c r="X151" s="91" t="s">
        <v>252</v>
      </c>
      <c r="Y151" s="87"/>
      <c r="Z151" s="88"/>
      <c r="AA151" s="84" t="str">
        <f>IF(AC$30=$B$23,"Required","Not Required")</f>
        <v>Not Required</v>
      </c>
      <c r="AB151" s="89"/>
      <c r="AC151" s="90">
        <f>IF(AA151="Not Required",0,M151)</f>
        <v>0</v>
      </c>
      <c r="AD151" s="91" t="s">
        <v>252</v>
      </c>
      <c r="AE151" s="50"/>
      <c r="AF151" s="90">
        <f>IF(AA151="Not Required",0,M151)</f>
        <v>0</v>
      </c>
      <c r="AG151" s="91" t="s">
        <v>252</v>
      </c>
      <c r="AH151" s="87"/>
      <c r="AI151" s="88"/>
      <c r="AJ151" s="84" t="str">
        <f>IF(AL$30=$B$23,"Required","Not Required")</f>
        <v>Required</v>
      </c>
      <c r="AK151" s="89"/>
      <c r="AL151" s="90">
        <f>IF(AJ151="Not Required",0,O151)</f>
        <v>36</v>
      </c>
      <c r="AM151" s="91" t="s">
        <v>252</v>
      </c>
      <c r="AN151" s="50"/>
      <c r="AO151" s="90">
        <f>IF(AJ151="Not Required",0,O151)</f>
        <v>36</v>
      </c>
      <c r="AP151" s="91" t="s">
        <v>252</v>
      </c>
      <c r="AQ151" s="87"/>
      <c r="AR151" s="92"/>
      <c r="AS151" s="80" t="s">
        <v>254</v>
      </c>
    </row>
    <row r="152" spans="1:45" ht="3" customHeight="1" x14ac:dyDescent="0.2">
      <c r="B152" s="50"/>
      <c r="C152" s="50"/>
      <c r="D152" s="50"/>
      <c r="E152" s="50"/>
      <c r="F152" s="50"/>
      <c r="G152" s="50"/>
      <c r="H152" s="50"/>
      <c r="I152" s="96"/>
      <c r="J152" s="97"/>
      <c r="P152" s="89"/>
      <c r="Q152" s="298"/>
      <c r="R152" s="89"/>
      <c r="S152" s="89"/>
      <c r="Y152" s="87"/>
      <c r="Z152" s="88"/>
      <c r="AA152" s="89"/>
      <c r="AB152" s="89"/>
      <c r="AC152" s="58"/>
      <c r="AH152" s="87"/>
      <c r="AI152" s="88"/>
      <c r="AJ152" s="89"/>
      <c r="AK152" s="89"/>
      <c r="AL152" s="58"/>
      <c r="AQ152" s="87"/>
      <c r="AR152" s="92"/>
      <c r="AS152" s="81"/>
    </row>
    <row r="153" spans="1:45" x14ac:dyDescent="0.2">
      <c r="B153" s="50"/>
      <c r="C153" s="50" t="str">
        <f>IF(UnitsOfMeasure="Metric",CONCATENATE("Pump Sleeve Cost (Est. €",ROUND(350*ExchangeRate/$U$11,0),"/mm Diameter)"),"Pump Sleeve Cost (Est. $350/Inch Diameter)")</f>
        <v>Pump Sleeve Cost (Est. $350/Inch Diameter)</v>
      </c>
      <c r="D153" s="50"/>
      <c r="E153" s="50"/>
      <c r="F153" s="50"/>
      <c r="G153" s="50"/>
      <c r="H153" s="50"/>
      <c r="I153" s="96" t="s">
        <v>261</v>
      </c>
      <c r="J153" s="97" t="str">
        <f>IF(UnitsOfMeasure="Metric","€","$")</f>
        <v>$</v>
      </c>
      <c r="K153" s="268">
        <f>K155</f>
        <v>0</v>
      </c>
      <c r="L153" s="353"/>
      <c r="M153" s="268">
        <f>M155</f>
        <v>0</v>
      </c>
      <c r="N153" s="353"/>
      <c r="O153" s="268">
        <f>O155</f>
        <v>612.5</v>
      </c>
      <c r="P153" s="89"/>
      <c r="Q153" s="298"/>
      <c r="R153" s="84" t="str">
        <f>IF(T$30=$B$23,"Required","Not Required")</f>
        <v>Not Required</v>
      </c>
      <c r="S153" s="89"/>
      <c r="T153" s="94">
        <f>IF(R153="Not Required",0,IF(UnitsOfMeasure="Metric",K153, K153*ExchangeRate))</f>
        <v>0</v>
      </c>
      <c r="U153" s="95" t="s">
        <v>251</v>
      </c>
      <c r="V153" s="50"/>
      <c r="W153" s="94">
        <f>IF(R153="Not Required",0,IF(UnitsOfMeasure="Metric",K153/ExchangeRate,K153))</f>
        <v>0</v>
      </c>
      <c r="X153" s="95" t="s">
        <v>205</v>
      </c>
      <c r="Y153" s="87"/>
      <c r="Z153" s="88"/>
      <c r="AA153" s="84" t="str">
        <f>IF(AC$30=$B$23,"Required","Not Required")</f>
        <v>Not Required</v>
      </c>
      <c r="AB153" s="89"/>
      <c r="AC153" s="94">
        <f>IF(AA153="Not Required",0,IF(UnitsOfMeasure="Metric",M153, M153*ExchangeRate))</f>
        <v>0</v>
      </c>
      <c r="AD153" s="95" t="s">
        <v>251</v>
      </c>
      <c r="AE153" s="50"/>
      <c r="AF153" s="94">
        <f>IF(AA153="Not Required",0,IF(UnitsOfMeasure="Metric",M153/ExchangeRate,M153))</f>
        <v>0</v>
      </c>
      <c r="AG153" s="95" t="s">
        <v>205</v>
      </c>
      <c r="AH153" s="87"/>
      <c r="AI153" s="88"/>
      <c r="AJ153" s="84" t="str">
        <f>IF(AL$30=$B$23,"Required","Not Required")</f>
        <v>Required</v>
      </c>
      <c r="AK153" s="89"/>
      <c r="AL153" s="94">
        <f>IF(AJ153="Not Required",0,IF(UnitsOfMeasure="Metric",O153, O153*ExchangeRate))</f>
        <v>460.29374999999999</v>
      </c>
      <c r="AM153" s="95" t="s">
        <v>251</v>
      </c>
      <c r="AN153" s="50"/>
      <c r="AO153" s="94">
        <f>IF(AJ153="Not Required",0,IF(UnitsOfMeasure="Metric",O153/ExchangeRate,O153))</f>
        <v>612.5</v>
      </c>
      <c r="AP153" s="95" t="s">
        <v>205</v>
      </c>
      <c r="AQ153" s="87"/>
      <c r="AR153" s="92"/>
      <c r="AS153" s="293" t="s">
        <v>762</v>
      </c>
    </row>
    <row r="154" spans="1:45" ht="3" customHeight="1" x14ac:dyDescent="0.2">
      <c r="B154" s="50"/>
      <c r="C154" s="50"/>
      <c r="D154" s="50"/>
      <c r="E154" s="50"/>
      <c r="F154" s="50"/>
      <c r="G154" s="50"/>
      <c r="H154" s="50"/>
      <c r="I154" s="96"/>
      <c r="J154" s="97"/>
      <c r="K154" s="351"/>
      <c r="L154" s="352"/>
      <c r="M154" s="351"/>
      <c r="N154" s="352"/>
      <c r="O154" s="351"/>
      <c r="P154" s="89"/>
      <c r="Q154" s="298"/>
      <c r="R154" s="89"/>
      <c r="S154" s="89"/>
      <c r="Y154" s="87"/>
      <c r="Z154" s="88"/>
      <c r="AA154" s="89"/>
      <c r="AB154" s="89"/>
      <c r="AC154" s="58"/>
      <c r="AH154" s="87"/>
      <c r="AI154" s="88"/>
      <c r="AJ154" s="89"/>
      <c r="AK154" s="89"/>
      <c r="AL154" s="58"/>
      <c r="AQ154" s="87"/>
      <c r="AR154" s="92"/>
      <c r="AS154" s="81"/>
    </row>
    <row r="155" spans="1:45" hidden="1" x14ac:dyDescent="0.2">
      <c r="A155" s="62" t="s">
        <v>263</v>
      </c>
      <c r="B155" s="50"/>
      <c r="C155" s="349" t="str">
        <f>IF(UnitsOfMeasure="Metric",CONCATENATE("Pump Sleeve Cost (Est. €",ROUND(350*ExchangeRate/$U$11,0),"/mm Diameter)"),"Pump Sleeve Cost (Est. $350/Inch Diameter)")</f>
        <v>Pump Sleeve Cost (Est. $350/Inch Diameter)</v>
      </c>
      <c r="D155" s="346"/>
      <c r="E155" s="346"/>
      <c r="F155" s="346"/>
      <c r="G155" s="346"/>
      <c r="H155" s="346"/>
      <c r="I155" s="348" t="s">
        <v>261</v>
      </c>
      <c r="J155" s="347" t="str">
        <f>IF(UnitsOfMeasure="Metric","€","$")</f>
        <v>$</v>
      </c>
      <c r="K155" s="356">
        <f>IF(UnitsOfMeasure="Metric",T155,W155)</f>
        <v>0</v>
      </c>
      <c r="L155" s="353"/>
      <c r="M155" s="356">
        <f>IF(UnitsOfMeasure="Metric",AC155,AF155)</f>
        <v>0</v>
      </c>
      <c r="N155" s="353"/>
      <c r="O155" s="356">
        <f>IF(UnitsOfMeasure="Metric",AL155,AO155)</f>
        <v>612.5</v>
      </c>
      <c r="P155" s="294"/>
      <c r="Q155" s="298"/>
      <c r="R155" s="84" t="str">
        <f>IF(T$30=$B$23,"Required","Not Required")</f>
        <v>Not Required</v>
      </c>
      <c r="S155" s="89"/>
      <c r="T155" s="94">
        <f>IF(R155="Not Required",0,T$115*IF(UnitsOfMeasure="Metric",ROUND(350*ExchangeRate/$U$11,0),350*ExchangeRate/$U$11))</f>
        <v>0</v>
      </c>
      <c r="U155" s="95" t="s">
        <v>251</v>
      </c>
      <c r="V155" s="50"/>
      <c r="W155" s="94">
        <f>IF(R155="Not Required",0,W$115*IF(UnitsOfMeasure="Imperial",350,($U$11*ROUND(350*ExchangeRate/$U$11,0))/ExchangeRate))</f>
        <v>0</v>
      </c>
      <c r="X155" s="95" t="s">
        <v>205</v>
      </c>
      <c r="Y155" s="87"/>
      <c r="Z155" s="88"/>
      <c r="AA155" s="84" t="str">
        <f>IF(AC$30=$B$23,"Required","Not Required")</f>
        <v>Not Required</v>
      </c>
      <c r="AB155" s="89"/>
      <c r="AC155" s="94">
        <f>IF(AA155="Not Required",0,AC$115*IF(UnitsOfMeasure="Metric",ROUND(350*ExchangeRate/$U$11,0),350*ExchangeRate/$U$11))</f>
        <v>0</v>
      </c>
      <c r="AD155" s="95" t="s">
        <v>251</v>
      </c>
      <c r="AE155" s="50"/>
      <c r="AF155" s="94">
        <f>IF(AA155="Not Required",0,AF$115*IF(UnitsOfMeasure="Imperial",350,($U$11*ROUND(350*ExchangeRate/$U$11,0))/ExchangeRate))</f>
        <v>0</v>
      </c>
      <c r="AG155" s="95" t="s">
        <v>205</v>
      </c>
      <c r="AH155" s="87"/>
      <c r="AI155" s="88"/>
      <c r="AJ155" s="84" t="str">
        <f>IF(AL$30=$B$23,"Required","Not Required")</f>
        <v>Required</v>
      </c>
      <c r="AK155" s="89"/>
      <c r="AL155" s="94">
        <f>IF(AJ155="Not Required",0,AL$115*IF(UnitsOfMeasure="Metric",ROUND(350*ExchangeRate/$U$11,0),350*ExchangeRate/$U$11))</f>
        <v>460.29374999999993</v>
      </c>
      <c r="AM155" s="95" t="s">
        <v>251</v>
      </c>
      <c r="AN155" s="50"/>
      <c r="AO155" s="94">
        <f>IF(AJ155="Not Required",0,AO$115*IF(UnitsOfMeasure="Imperial",350,($U$11*ROUND(350*ExchangeRate/$U$11,0))/ExchangeRate))</f>
        <v>612.5</v>
      </c>
      <c r="AP155" s="95" t="s">
        <v>205</v>
      </c>
      <c r="AQ155" s="87"/>
      <c r="AR155" s="92"/>
      <c r="AS155" s="80" t="s">
        <v>254</v>
      </c>
    </row>
    <row r="156" spans="1:45" ht="3" hidden="1" customHeight="1" x14ac:dyDescent="0.2">
      <c r="A156" s="62"/>
      <c r="B156" s="50"/>
      <c r="C156" s="50"/>
      <c r="D156" s="50"/>
      <c r="E156" s="50"/>
      <c r="F156" s="50"/>
      <c r="G156" s="50"/>
      <c r="H156" s="50"/>
      <c r="I156" s="96"/>
      <c r="J156" s="97"/>
      <c r="P156" s="89"/>
      <c r="Q156" s="298"/>
      <c r="R156" s="89"/>
      <c r="S156" s="89"/>
      <c r="Y156" s="87"/>
      <c r="Z156" s="88"/>
      <c r="AA156" s="89"/>
      <c r="AB156" s="89"/>
      <c r="AC156" s="58"/>
      <c r="AH156" s="87"/>
      <c r="AI156" s="88"/>
      <c r="AJ156" s="89"/>
      <c r="AK156" s="89"/>
      <c r="AL156" s="58"/>
      <c r="AQ156" s="87"/>
      <c r="AR156" s="92"/>
      <c r="AS156" s="81"/>
    </row>
    <row r="157" spans="1:45" x14ac:dyDescent="0.2">
      <c r="B157" s="50"/>
      <c r="C157" s="50" t="s">
        <v>648</v>
      </c>
      <c r="D157" s="50"/>
      <c r="E157" s="50"/>
      <c r="F157" s="50"/>
      <c r="G157" s="50"/>
      <c r="H157" s="50"/>
      <c r="I157" s="179">
        <v>0</v>
      </c>
      <c r="J157" s="97" t="str">
        <f>IF(UnitsOfMeasure="Metric","€ per packed box","$ per packed box")</f>
        <v>$ per packed box</v>
      </c>
      <c r="K157" s="268">
        <f>I157</f>
        <v>0</v>
      </c>
      <c r="L157" s="82"/>
      <c r="M157" s="268">
        <f>K157</f>
        <v>0</v>
      </c>
      <c r="N157" s="82"/>
      <c r="O157" s="268">
        <f>K157</f>
        <v>0</v>
      </c>
      <c r="P157" s="89"/>
      <c r="Q157" s="298"/>
      <c r="R157" s="84" t="str">
        <f>IF(T$30=$B$23,"Required","Not Required")</f>
        <v>Not Required</v>
      </c>
      <c r="S157" s="89"/>
      <c r="T157" s="90">
        <f>IF(R157="Not Required",0,IF(UnitsOfMeasure="Metric",K157,K157*ExchangeRate))</f>
        <v>0</v>
      </c>
      <c r="U157" s="91" t="s">
        <v>251</v>
      </c>
      <c r="V157" s="50"/>
      <c r="W157" s="90">
        <f>IF(R157="Not Required",0,IF(UnitsOfMeasure="Imperial",K157,K157/ExchangeRate))</f>
        <v>0</v>
      </c>
      <c r="X157" s="91" t="s">
        <v>205</v>
      </c>
      <c r="Y157" s="87"/>
      <c r="Z157" s="88"/>
      <c r="AA157" s="84" t="str">
        <f>IF(AC$30=$B$23,"Required","Not Required")</f>
        <v>Not Required</v>
      </c>
      <c r="AB157" s="89"/>
      <c r="AC157" s="90">
        <f>IF(AA157="Not Required",0,IF(UnitsOfMeasure="Metric",M157,M157*ExchangeRate))</f>
        <v>0</v>
      </c>
      <c r="AD157" s="91" t="s">
        <v>251</v>
      </c>
      <c r="AE157" s="50"/>
      <c r="AF157" s="90">
        <f>IF(AA157="Not Required",0,IF(UnitsOfMeasure="Imperial",M157,M157/ExchangeRate))</f>
        <v>0</v>
      </c>
      <c r="AG157" s="91" t="s">
        <v>205</v>
      </c>
      <c r="AH157" s="87"/>
      <c r="AI157" s="88"/>
      <c r="AJ157" s="84" t="str">
        <f>IF(AL$30=$B$23,"Required","Not Required")</f>
        <v>Required</v>
      </c>
      <c r="AK157" s="89"/>
      <c r="AL157" s="90">
        <f>IF(AJ157="Not Required",0,IF(UnitsOfMeasure="Metric",O157,O157*ExchangeRate))</f>
        <v>0</v>
      </c>
      <c r="AM157" s="91" t="s">
        <v>251</v>
      </c>
      <c r="AN157" s="50"/>
      <c r="AO157" s="90">
        <f>IF(AJ157="Not Required",0,IF(UnitsOfMeasure="Imperial",O157,O157/ExchangeRate))</f>
        <v>0</v>
      </c>
      <c r="AP157" s="91" t="s">
        <v>205</v>
      </c>
      <c r="AQ157" s="87"/>
      <c r="AR157" s="92"/>
      <c r="AS157" s="80" t="s">
        <v>254</v>
      </c>
    </row>
    <row r="158" spans="1:45" ht="15" thickBot="1" x14ac:dyDescent="0.25">
      <c r="B158" s="252"/>
      <c r="C158" s="252"/>
      <c r="D158" s="252"/>
      <c r="E158" s="252"/>
      <c r="F158" s="252"/>
      <c r="G158" s="252"/>
      <c r="H158" s="252"/>
      <c r="I158" s="253"/>
      <c r="J158" s="254"/>
      <c r="K158" s="71"/>
      <c r="L158" s="72"/>
      <c r="M158" s="71"/>
      <c r="N158" s="72"/>
      <c r="O158" s="71"/>
      <c r="P158" s="89"/>
      <c r="Q158" s="298"/>
      <c r="R158" s="89"/>
      <c r="S158" s="89"/>
      <c r="Y158" s="87"/>
      <c r="Z158" s="88"/>
      <c r="AA158" s="89"/>
      <c r="AB158" s="89"/>
      <c r="AC158" s="58"/>
      <c r="AH158" s="87"/>
      <c r="AI158" s="88"/>
      <c r="AJ158" s="89"/>
      <c r="AK158" s="89"/>
      <c r="AL158" s="58"/>
      <c r="AQ158" s="87"/>
      <c r="AR158" s="92"/>
      <c r="AS158" s="81"/>
    </row>
    <row r="159" spans="1:45" ht="24.75" hidden="1" customHeight="1" x14ac:dyDescent="0.2">
      <c r="A159" s="62" t="s">
        <v>263</v>
      </c>
      <c r="B159" s="255" t="s">
        <v>458</v>
      </c>
      <c r="C159" s="85"/>
      <c r="D159" s="85"/>
      <c r="E159" s="85"/>
      <c r="F159" s="85"/>
      <c r="G159" s="85"/>
      <c r="H159" s="85"/>
      <c r="I159" s="263"/>
      <c r="J159" s="264"/>
      <c r="K159" s="104"/>
      <c r="L159" s="105"/>
      <c r="M159" s="104"/>
      <c r="N159" s="105"/>
      <c r="O159" s="104"/>
      <c r="P159" s="89"/>
      <c r="Q159" s="298"/>
      <c r="R159" s="89"/>
      <c r="S159" s="89"/>
      <c r="Y159" s="87"/>
      <c r="Z159" s="88"/>
      <c r="AA159" s="89"/>
      <c r="AB159" s="89"/>
      <c r="AC159" s="58"/>
      <c r="AH159" s="87"/>
      <c r="AI159" s="88"/>
      <c r="AJ159" s="89"/>
      <c r="AK159" s="89"/>
      <c r="AL159" s="58"/>
      <c r="AQ159" s="87"/>
      <c r="AR159" s="92"/>
      <c r="AS159" s="80"/>
    </row>
    <row r="160" spans="1:45" ht="3" hidden="1" customHeight="1" x14ac:dyDescent="0.2">
      <c r="A160" s="62"/>
      <c r="B160" s="265"/>
      <c r="C160" s="85"/>
      <c r="D160" s="85"/>
      <c r="E160" s="85"/>
      <c r="F160" s="85"/>
      <c r="G160" s="85"/>
      <c r="H160" s="85"/>
      <c r="I160" s="263"/>
      <c r="J160" s="264"/>
      <c r="K160" s="104"/>
      <c r="L160" s="105"/>
      <c r="M160" s="104"/>
      <c r="N160" s="105"/>
      <c r="O160" s="104"/>
      <c r="P160" s="89"/>
      <c r="Q160" s="298"/>
      <c r="R160" s="89"/>
      <c r="S160" s="89"/>
      <c r="Y160" s="87"/>
      <c r="Z160" s="88"/>
      <c r="AA160" s="89"/>
      <c r="AB160" s="89"/>
      <c r="AC160" s="58"/>
      <c r="AH160" s="87"/>
      <c r="AI160" s="88"/>
      <c r="AJ160" s="89"/>
      <c r="AK160" s="89"/>
      <c r="AL160" s="58"/>
      <c r="AQ160" s="87"/>
      <c r="AR160" s="92"/>
      <c r="AS160" s="81"/>
    </row>
    <row r="161" spans="1:45" hidden="1" x14ac:dyDescent="0.2">
      <c r="A161" s="62" t="s">
        <v>263</v>
      </c>
      <c r="B161" s="85"/>
      <c r="C161" s="85" t="s">
        <v>459</v>
      </c>
      <c r="D161" s="85"/>
      <c r="E161" s="85"/>
      <c r="F161" s="85"/>
      <c r="G161" s="85"/>
      <c r="H161" s="85"/>
      <c r="I161" s="96">
        <f>IF(UnitsOfMeasure="Metric",350,100)</f>
        <v>100</v>
      </c>
      <c r="J161" s="97" t="str">
        <f>IF(UnitsOfMeasure="Metric","l / min","Gallons / min")</f>
        <v>Gallons / min</v>
      </c>
      <c r="K161" s="125">
        <f>I161</f>
        <v>100</v>
      </c>
      <c r="L161" s="126"/>
      <c r="M161" s="125">
        <f>K161</f>
        <v>100</v>
      </c>
      <c r="N161" s="126"/>
      <c r="O161" s="125">
        <f>K161</f>
        <v>100</v>
      </c>
      <c r="P161" s="89"/>
      <c r="Q161" s="298"/>
      <c r="R161" s="84" t="str">
        <f>IF(T$30=$B$24,"Required","Not Required")</f>
        <v>Not Required</v>
      </c>
      <c r="S161" s="89"/>
      <c r="T161" s="90">
        <f>IF(R161="Not Required",0,IF(UnitsOfMeasure="Metric",K161,K161*$U$13))</f>
        <v>0</v>
      </c>
      <c r="U161" s="91" t="s">
        <v>257</v>
      </c>
      <c r="V161" s="50"/>
      <c r="W161" s="90">
        <f>IF(R161="Not Required",0,IF(UnitsOfMeasure="Imperial",K161,K161/$U$13))</f>
        <v>0</v>
      </c>
      <c r="X161" s="91" t="s">
        <v>177</v>
      </c>
      <c r="Y161" s="87"/>
      <c r="Z161" s="88"/>
      <c r="AA161" s="84" t="str">
        <f>IF(AC$30=$B$24,"Required","Not Required")</f>
        <v>Not Required</v>
      </c>
      <c r="AB161" s="89"/>
      <c r="AC161" s="90">
        <f>IF(AA161="Not Required",0,IF(UnitsOfMeasure="Metric",M161,M161*$U$13))</f>
        <v>0</v>
      </c>
      <c r="AD161" s="91" t="s">
        <v>257</v>
      </c>
      <c r="AE161" s="50"/>
      <c r="AF161" s="90">
        <f>IF(AA161="Not Required",0,IF(UnitsOfMeasure="Imperial",M161,M161/$U$13))</f>
        <v>0</v>
      </c>
      <c r="AG161" s="91" t="s">
        <v>177</v>
      </c>
      <c r="AH161" s="87"/>
      <c r="AI161" s="88"/>
      <c r="AJ161" s="84" t="str">
        <f>IF(AL$30=$B$24,"Required","Not Required")</f>
        <v>Not Required</v>
      </c>
      <c r="AK161" s="89"/>
      <c r="AL161" s="90">
        <f>IF(AJ161="Not Required",0,IF(UnitsOfMeasure="Metric",O161,O161*$U$13))</f>
        <v>0</v>
      </c>
      <c r="AM161" s="91" t="s">
        <v>257</v>
      </c>
      <c r="AN161" s="50"/>
      <c r="AO161" s="90">
        <f>IF(AJ161="Not Required",0,IF(UnitsOfMeasure="Imperial",O161,O161/$U$13))</f>
        <v>0</v>
      </c>
      <c r="AP161" s="91" t="s">
        <v>177</v>
      </c>
      <c r="AQ161" s="87"/>
      <c r="AR161" s="92"/>
      <c r="AS161" s="80" t="s">
        <v>471</v>
      </c>
    </row>
    <row r="162" spans="1:45" ht="3" hidden="1" customHeight="1" x14ac:dyDescent="0.2">
      <c r="A162" s="62"/>
      <c r="B162" s="85"/>
      <c r="C162" s="85"/>
      <c r="D162" s="85"/>
      <c r="E162" s="85"/>
      <c r="F162" s="85"/>
      <c r="G162" s="85"/>
      <c r="H162" s="85"/>
      <c r="I162" s="263"/>
      <c r="J162" s="264"/>
      <c r="K162" s="104"/>
      <c r="L162" s="105"/>
      <c r="M162" s="104"/>
      <c r="N162" s="105"/>
      <c r="O162" s="104"/>
      <c r="P162" s="89"/>
      <c r="Q162" s="298"/>
      <c r="R162" s="89"/>
      <c r="S162" s="89"/>
      <c r="Y162" s="87"/>
      <c r="Z162" s="88"/>
      <c r="AA162" s="89"/>
      <c r="AB162" s="89"/>
      <c r="AC162" s="58"/>
      <c r="AH162" s="87"/>
      <c r="AI162" s="88"/>
      <c r="AJ162" s="89"/>
      <c r="AK162" s="89"/>
      <c r="AL162" s="58"/>
      <c r="AQ162" s="87"/>
      <c r="AR162" s="92"/>
      <c r="AS162" s="81"/>
    </row>
    <row r="163" spans="1:45" hidden="1" x14ac:dyDescent="0.2">
      <c r="A163" s="62" t="s">
        <v>263</v>
      </c>
      <c r="B163" s="85"/>
      <c r="C163" s="85" t="s">
        <v>460</v>
      </c>
      <c r="D163" s="85"/>
      <c r="E163" s="85"/>
      <c r="F163" s="85"/>
      <c r="G163" s="85"/>
      <c r="H163" s="85"/>
      <c r="I163" s="96">
        <f>IF(UnitsOfMeasure="Metric",50,1.75)</f>
        <v>1.75</v>
      </c>
      <c r="J163" s="97" t="str">
        <f>IF(UnitsOfMeasure="Metric","mm","inch")</f>
        <v>inch</v>
      </c>
      <c r="K163" s="125">
        <f>I163</f>
        <v>1.75</v>
      </c>
      <c r="L163" s="126"/>
      <c r="M163" s="125">
        <f>K163</f>
        <v>1.75</v>
      </c>
      <c r="N163" s="126"/>
      <c r="O163" s="125">
        <f>K163</f>
        <v>1.75</v>
      </c>
      <c r="P163" s="89"/>
      <c r="Q163" s="298"/>
      <c r="R163" s="84" t="str">
        <f>IF(T$30=$B$24,"Required","Not Required")</f>
        <v>Not Required</v>
      </c>
      <c r="S163" s="89"/>
      <c r="T163" s="90">
        <f>IF(R163="Not Required",0,IF(UnitsOfMeasure="Metric",K163,K163*$U$11))</f>
        <v>0</v>
      </c>
      <c r="U163" s="91" t="s">
        <v>247</v>
      </c>
      <c r="V163" s="50"/>
      <c r="W163" s="90">
        <f>IF(R163="Not Required",0,IF(UnitsOfMeasure="Imperial",K163,K163/$U$11))</f>
        <v>0</v>
      </c>
      <c r="X163" s="91" t="s">
        <v>250</v>
      </c>
      <c r="Y163" s="87"/>
      <c r="Z163" s="88"/>
      <c r="AA163" s="84" t="str">
        <f>IF(AC$30=$B$24,"Required","Not Required")</f>
        <v>Not Required</v>
      </c>
      <c r="AB163" s="89"/>
      <c r="AC163" s="90">
        <f>IF(AA163="Not Required",0,IF(UnitsOfMeasure="Metric",M163,M163*$U$11))</f>
        <v>0</v>
      </c>
      <c r="AD163" s="91" t="s">
        <v>247</v>
      </c>
      <c r="AE163" s="50"/>
      <c r="AF163" s="90">
        <f>IF(AA163="Not Required",0,IF(UnitsOfMeasure="Imperial",M163,M163/$U$11))</f>
        <v>0</v>
      </c>
      <c r="AG163" s="91" t="s">
        <v>250</v>
      </c>
      <c r="AH163" s="87"/>
      <c r="AI163" s="88"/>
      <c r="AJ163" s="84" t="str">
        <f>IF(AL$30=$B$24,"Required","Not Required")</f>
        <v>Not Required</v>
      </c>
      <c r="AK163" s="89"/>
      <c r="AL163" s="90">
        <f>IF(AJ163="Not Required",0,IF(UnitsOfMeasure="Metric",O163,O163*$U$11))</f>
        <v>0</v>
      </c>
      <c r="AM163" s="91" t="s">
        <v>247</v>
      </c>
      <c r="AN163" s="50"/>
      <c r="AO163" s="90">
        <f>IF(AJ163="Not Required",0,IF(UnitsOfMeasure="Imperial",O163,O163/$U$11))</f>
        <v>0</v>
      </c>
      <c r="AP163" s="91" t="s">
        <v>250</v>
      </c>
      <c r="AQ163" s="87"/>
      <c r="AR163" s="92"/>
      <c r="AS163" s="80" t="s">
        <v>471</v>
      </c>
    </row>
    <row r="164" spans="1:45" ht="3" hidden="1" customHeight="1" x14ac:dyDescent="0.2">
      <c r="A164" s="62"/>
      <c r="B164" s="85"/>
      <c r="C164" s="85"/>
      <c r="D164" s="85"/>
      <c r="E164" s="85"/>
      <c r="F164" s="85"/>
      <c r="G164" s="85"/>
      <c r="H164" s="85"/>
      <c r="I164" s="263"/>
      <c r="J164" s="264"/>
      <c r="K164" s="104"/>
      <c r="L164" s="105"/>
      <c r="M164" s="104"/>
      <c r="N164" s="105"/>
      <c r="O164" s="104"/>
      <c r="P164" s="89"/>
      <c r="Q164" s="298"/>
      <c r="R164" s="89"/>
      <c r="S164" s="89"/>
      <c r="Y164" s="87"/>
      <c r="Z164" s="88"/>
      <c r="AA164" s="89"/>
      <c r="AB164" s="89"/>
      <c r="AC164" s="58"/>
      <c r="AH164" s="87"/>
      <c r="AI164" s="88"/>
      <c r="AJ164" s="89"/>
      <c r="AK164" s="89"/>
      <c r="AL164" s="58"/>
      <c r="AQ164" s="87"/>
      <c r="AR164" s="92"/>
      <c r="AS164" s="81"/>
    </row>
    <row r="165" spans="1:45" hidden="1" x14ac:dyDescent="0.2">
      <c r="A165" s="62" t="s">
        <v>263</v>
      </c>
      <c r="B165" s="85"/>
      <c r="C165" s="85" t="s">
        <v>198</v>
      </c>
      <c r="D165" s="85"/>
      <c r="E165" s="85"/>
      <c r="F165" s="85"/>
      <c r="G165" s="85"/>
      <c r="H165" s="85"/>
      <c r="I165" s="96">
        <f>IF(UnitsOfMeasure="Metric",1450,1750)</f>
        <v>1750</v>
      </c>
      <c r="J165" s="97" t="s">
        <v>199</v>
      </c>
      <c r="K165" s="125">
        <f>I165</f>
        <v>1750</v>
      </c>
      <c r="L165" s="126"/>
      <c r="M165" s="125">
        <f>K165</f>
        <v>1750</v>
      </c>
      <c r="N165" s="126"/>
      <c r="O165" s="125">
        <f>K165</f>
        <v>1750</v>
      </c>
      <c r="P165" s="89"/>
      <c r="Q165" s="298"/>
      <c r="R165" s="84" t="str">
        <f>IF(T$30=$B$24,"Required","Not Required")</f>
        <v>Not Required</v>
      </c>
      <c r="S165" s="89"/>
      <c r="T165" s="90">
        <f>IF(R165="Not Required",0,K165)</f>
        <v>0</v>
      </c>
      <c r="U165" s="91" t="str">
        <f>$J165</f>
        <v>RPM</v>
      </c>
      <c r="V165" s="50"/>
      <c r="W165" s="90">
        <f>IF(R165="Not Required",0,K165)</f>
        <v>0</v>
      </c>
      <c r="X165" s="91" t="str">
        <f>$J165</f>
        <v>RPM</v>
      </c>
      <c r="Y165" s="87"/>
      <c r="Z165" s="88"/>
      <c r="AA165" s="84" t="str">
        <f>IF(AC$30=$B$24,"Required","Not Required")</f>
        <v>Not Required</v>
      </c>
      <c r="AB165" s="89"/>
      <c r="AC165" s="90">
        <f>IF(AA165="Not Required",0,M165)</f>
        <v>0</v>
      </c>
      <c r="AD165" s="91" t="str">
        <f>$J165</f>
        <v>RPM</v>
      </c>
      <c r="AE165" s="50"/>
      <c r="AF165" s="90">
        <f>IF(AA165="Not Required",0,M165)</f>
        <v>0</v>
      </c>
      <c r="AG165" s="91" t="str">
        <f>$J165</f>
        <v>RPM</v>
      </c>
      <c r="AH165" s="87"/>
      <c r="AI165" s="88"/>
      <c r="AJ165" s="84" t="str">
        <f>IF(AL$30=$B$24,"Required","Not Required")</f>
        <v>Not Required</v>
      </c>
      <c r="AK165" s="89"/>
      <c r="AL165" s="90">
        <f>IF(AJ165="Not Required",0,O165)</f>
        <v>0</v>
      </c>
      <c r="AM165" s="91" t="str">
        <f>$J165</f>
        <v>RPM</v>
      </c>
      <c r="AN165" s="50"/>
      <c r="AO165" s="90">
        <f>IF(AJ165="Not Required",0,O165)</f>
        <v>0</v>
      </c>
      <c r="AP165" s="91" t="str">
        <f>$J165</f>
        <v>RPM</v>
      </c>
      <c r="AQ165" s="87"/>
      <c r="AR165" s="92"/>
      <c r="AS165" s="80" t="s">
        <v>471</v>
      </c>
    </row>
    <row r="166" spans="1:45" ht="3" hidden="1" customHeight="1" x14ac:dyDescent="0.2">
      <c r="A166" s="62"/>
      <c r="B166" s="85"/>
      <c r="C166" s="85"/>
      <c r="D166" s="85"/>
      <c r="E166" s="85"/>
      <c r="F166" s="85"/>
      <c r="G166" s="85"/>
      <c r="H166" s="85"/>
      <c r="I166" s="263"/>
      <c r="J166" s="264"/>
      <c r="K166" s="104"/>
      <c r="L166" s="105"/>
      <c r="M166" s="104"/>
      <c r="N166" s="105"/>
      <c r="O166" s="104"/>
      <c r="P166" s="89"/>
      <c r="Q166" s="298"/>
      <c r="R166" s="89"/>
      <c r="S166" s="89"/>
      <c r="Y166" s="87"/>
      <c r="Z166" s="88"/>
      <c r="AA166" s="89"/>
      <c r="AB166" s="89"/>
      <c r="AC166" s="58"/>
      <c r="AH166" s="87"/>
      <c r="AI166" s="88"/>
      <c r="AJ166" s="89"/>
      <c r="AK166" s="89"/>
      <c r="AL166" s="58"/>
      <c r="AQ166" s="87"/>
      <c r="AR166" s="92"/>
      <c r="AS166" s="81"/>
    </row>
    <row r="167" spans="1:45" hidden="1" x14ac:dyDescent="0.2">
      <c r="A167" s="62" t="s">
        <v>263</v>
      </c>
      <c r="B167" s="85"/>
      <c r="C167" s="85" t="s">
        <v>461</v>
      </c>
      <c r="D167" s="85"/>
      <c r="E167" s="85"/>
      <c r="F167" s="85"/>
      <c r="G167" s="85"/>
      <c r="H167" s="85"/>
      <c r="I167" s="96">
        <f>IF(UnitsOfMeasure="Metric",4,60)</f>
        <v>60</v>
      </c>
      <c r="J167" s="97" t="str">
        <f>IF(UnitsOfMeasure="Metric","bar","psi")</f>
        <v>psi</v>
      </c>
      <c r="K167" s="125">
        <f>I167</f>
        <v>60</v>
      </c>
      <c r="L167" s="126"/>
      <c r="M167" s="125">
        <f>K167</f>
        <v>60</v>
      </c>
      <c r="N167" s="126"/>
      <c r="O167" s="125">
        <f>K167</f>
        <v>60</v>
      </c>
      <c r="P167" s="89"/>
      <c r="Q167" s="298"/>
      <c r="R167" s="84" t="str">
        <f>IF(T$30=$B$24,"Required","Not Required")</f>
        <v>Not Required</v>
      </c>
      <c r="S167" s="89"/>
      <c r="T167" s="90">
        <f>IF(R167="Not Required",0,IF(UnitsOfMeasure="Metric",K167,K167/$U$16))</f>
        <v>0</v>
      </c>
      <c r="U167" s="91" t="s">
        <v>470</v>
      </c>
      <c r="V167" s="50"/>
      <c r="W167" s="90">
        <f>IF(R167="Not Required",0,IF(UnitsOfMeasure="Imperial",K167,K167*$U$16))</f>
        <v>0</v>
      </c>
      <c r="X167" s="91" t="s">
        <v>376</v>
      </c>
      <c r="Y167" s="87"/>
      <c r="Z167" s="88"/>
      <c r="AA167" s="84" t="str">
        <f>IF(AC$30=$B$24,"Required","Not Required")</f>
        <v>Not Required</v>
      </c>
      <c r="AB167" s="89"/>
      <c r="AC167" s="90">
        <f>IF(AA167="Not Required",0,IF(UnitsOfMeasure="Metric",M167,M167/$U$16))</f>
        <v>0</v>
      </c>
      <c r="AD167" s="91" t="s">
        <v>470</v>
      </c>
      <c r="AE167" s="50"/>
      <c r="AF167" s="90">
        <f>IF(AA167="Not Required",0,IF(UnitsOfMeasure="Imperial",M167,M167*$U$16))</f>
        <v>0</v>
      </c>
      <c r="AG167" s="91" t="s">
        <v>376</v>
      </c>
      <c r="AH167" s="87"/>
      <c r="AI167" s="88"/>
      <c r="AJ167" s="84" t="str">
        <f>IF(AL$30=$B$24,"Required","Not Required")</f>
        <v>Not Required</v>
      </c>
      <c r="AK167" s="89"/>
      <c r="AL167" s="90">
        <f>IF(AJ167="Not Required",0,IF(UnitsOfMeasure="Metric",O167,O167/$U$16))</f>
        <v>0</v>
      </c>
      <c r="AM167" s="91" t="s">
        <v>470</v>
      </c>
      <c r="AN167" s="50"/>
      <c r="AO167" s="90">
        <f>IF(AJ167="Not Required",0,IF(UnitsOfMeasure="Imperial",O167,O167*$U$16))</f>
        <v>0</v>
      </c>
      <c r="AP167" s="91" t="s">
        <v>376</v>
      </c>
      <c r="AQ167" s="87"/>
      <c r="AR167" s="92"/>
      <c r="AS167" s="80" t="s">
        <v>471</v>
      </c>
    </row>
    <row r="168" spans="1:45" ht="3" hidden="1" customHeight="1" x14ac:dyDescent="0.2">
      <c r="A168" s="62"/>
      <c r="B168" s="85"/>
      <c r="C168" s="85"/>
      <c r="D168" s="85"/>
      <c r="E168" s="85"/>
      <c r="F168" s="85"/>
      <c r="G168" s="85"/>
      <c r="H168" s="85"/>
      <c r="I168" s="263"/>
      <c r="J168" s="264"/>
      <c r="K168" s="104"/>
      <c r="L168" s="105"/>
      <c r="M168" s="104"/>
      <c r="N168" s="105"/>
      <c r="O168" s="104"/>
      <c r="P168" s="89"/>
      <c r="Q168" s="298"/>
      <c r="R168" s="89"/>
      <c r="S168" s="89"/>
      <c r="Y168" s="87"/>
      <c r="Z168" s="88"/>
      <c r="AA168" s="89"/>
      <c r="AB168" s="89"/>
      <c r="AC168" s="58"/>
      <c r="AH168" s="87"/>
      <c r="AI168" s="88"/>
      <c r="AJ168" s="89"/>
      <c r="AK168" s="89"/>
      <c r="AL168" s="58"/>
      <c r="AQ168" s="87"/>
      <c r="AR168" s="92"/>
      <c r="AS168" s="81"/>
    </row>
    <row r="169" spans="1:45" hidden="1" x14ac:dyDescent="0.2">
      <c r="A169" s="62" t="s">
        <v>263</v>
      </c>
      <c r="B169" s="85"/>
      <c r="C169" s="85" t="s">
        <v>203</v>
      </c>
      <c r="D169" s="85"/>
      <c r="E169" s="85"/>
      <c r="F169" s="85"/>
      <c r="G169" s="85"/>
      <c r="H169" s="85"/>
      <c r="I169" s="96">
        <f>IF(UnitsOfMeasure="Metric",40,100)</f>
        <v>100</v>
      </c>
      <c r="J169" s="97" t="str">
        <f>IF(UnitsOfMeasure="Metric","°C","°F")</f>
        <v>°F</v>
      </c>
      <c r="K169" s="125">
        <f>I169</f>
        <v>100</v>
      </c>
      <c r="L169" s="126"/>
      <c r="M169" s="125">
        <f>K169</f>
        <v>100</v>
      </c>
      <c r="N169" s="126"/>
      <c r="O169" s="125">
        <f>K169</f>
        <v>100</v>
      </c>
      <c r="P169" s="89"/>
      <c r="Q169" s="298"/>
      <c r="R169" s="84" t="str">
        <f>IF(T$30=$B$24,"Required","Not Required")</f>
        <v>Not Required</v>
      </c>
      <c r="S169" s="89"/>
      <c r="T169" s="90">
        <f>IF(R169="Not Required",0,IF(UnitsOfMeasure="Metric",K169,(K169-32)*5/9))</f>
        <v>0</v>
      </c>
      <c r="U169" s="91" t="s">
        <v>249</v>
      </c>
      <c r="V169" s="50"/>
      <c r="W169" s="90">
        <f>IF(R169="Not Required",0,IF(UnitsOfMeasure="Imperial",K169,(K169*9/5+32)))</f>
        <v>0</v>
      </c>
      <c r="X169" s="91" t="s">
        <v>204</v>
      </c>
      <c r="Y169" s="87"/>
      <c r="Z169" s="88"/>
      <c r="AA169" s="84" t="str">
        <f>IF(AC$30=$B$24,"Required","Not Required")</f>
        <v>Not Required</v>
      </c>
      <c r="AB169" s="89"/>
      <c r="AC169" s="90">
        <f>IF(AA169="Not Required",0,IF(UnitsOfMeasure="Metric",M169,(M169-32)*5/9))</f>
        <v>0</v>
      </c>
      <c r="AD169" s="91" t="s">
        <v>249</v>
      </c>
      <c r="AE169" s="50"/>
      <c r="AF169" s="90">
        <f>IF(AA169="Not Required",0,IF(UnitsOfMeasure="Imperial",M169,(M169*9/5+32)))</f>
        <v>0</v>
      </c>
      <c r="AG169" s="91" t="s">
        <v>204</v>
      </c>
      <c r="AH169" s="87"/>
      <c r="AI169" s="88"/>
      <c r="AJ169" s="84" t="str">
        <f>IF(AL$30=$B$24,"Required","Not Required")</f>
        <v>Not Required</v>
      </c>
      <c r="AK169" s="89"/>
      <c r="AL169" s="90">
        <f>IF(AJ169="Not Required",0,IF(UnitsOfMeasure="Metric",O169,(O169-32)*5/9))</f>
        <v>0</v>
      </c>
      <c r="AM169" s="91" t="s">
        <v>249</v>
      </c>
      <c r="AN169" s="50"/>
      <c r="AO169" s="90">
        <f>IF(AJ169="Not Required",0,IF(UnitsOfMeasure="Imperial",O169,(O169*9/5+32)))</f>
        <v>0</v>
      </c>
      <c r="AP169" s="91" t="s">
        <v>204</v>
      </c>
      <c r="AQ169" s="87"/>
      <c r="AR169" s="92"/>
      <c r="AS169" s="80" t="s">
        <v>471</v>
      </c>
    </row>
    <row r="170" spans="1:45" ht="3" hidden="1" customHeight="1" x14ac:dyDescent="0.2">
      <c r="A170" s="62"/>
      <c r="B170" s="85"/>
      <c r="C170" s="85"/>
      <c r="D170" s="85"/>
      <c r="E170" s="85"/>
      <c r="F170" s="85"/>
      <c r="G170" s="85"/>
      <c r="H170" s="85"/>
      <c r="I170" s="263"/>
      <c r="J170" s="264"/>
      <c r="K170" s="104"/>
      <c r="L170" s="105"/>
      <c r="M170" s="104"/>
      <c r="N170" s="105"/>
      <c r="O170" s="104"/>
      <c r="P170" s="89"/>
      <c r="Q170" s="298"/>
      <c r="R170" s="89"/>
      <c r="S170" s="89"/>
      <c r="Y170" s="87"/>
      <c r="Z170" s="88"/>
      <c r="AA170" s="89"/>
      <c r="AB170" s="89"/>
      <c r="AC170" s="58"/>
      <c r="AH170" s="87"/>
      <c r="AI170" s="88"/>
      <c r="AJ170" s="89"/>
      <c r="AK170" s="89"/>
      <c r="AL170" s="58"/>
      <c r="AQ170" s="87"/>
      <c r="AR170" s="92"/>
      <c r="AS170" s="81"/>
    </row>
    <row r="171" spans="1:45" hidden="1" x14ac:dyDescent="0.2">
      <c r="A171" s="62" t="s">
        <v>263</v>
      </c>
      <c r="B171" s="85"/>
      <c r="C171" s="85" t="s">
        <v>462</v>
      </c>
      <c r="D171" s="85"/>
      <c r="E171" s="85"/>
      <c r="F171" s="85"/>
      <c r="G171" s="85"/>
      <c r="H171" s="85"/>
      <c r="I171" s="98">
        <v>0.8</v>
      </c>
      <c r="J171" s="264" t="s">
        <v>224</v>
      </c>
      <c r="K171" s="127">
        <f>I171</f>
        <v>0.8</v>
      </c>
      <c r="L171" s="126"/>
      <c r="M171" s="127">
        <f>K171</f>
        <v>0.8</v>
      </c>
      <c r="N171" s="126"/>
      <c r="O171" s="127">
        <f>K171</f>
        <v>0.8</v>
      </c>
      <c r="P171" s="89"/>
      <c r="Q171" s="298"/>
      <c r="R171" s="84" t="str">
        <f>IF(T$30=$B$24,"Required","Not Required")</f>
        <v>Not Required</v>
      </c>
      <c r="S171" s="89"/>
      <c r="T171" s="99">
        <f>IF(R171="Not Required",0,K171)</f>
        <v>0</v>
      </c>
      <c r="U171" s="91" t="s">
        <v>224</v>
      </c>
      <c r="V171" s="50"/>
      <c r="W171" s="99">
        <f>IF(R171="Not Required",0,K171)</f>
        <v>0</v>
      </c>
      <c r="X171" s="91" t="s">
        <v>224</v>
      </c>
      <c r="Y171" s="87"/>
      <c r="Z171" s="88"/>
      <c r="AA171" s="84" t="str">
        <f>IF(AC$30=$B$24,"Required","Not Required")</f>
        <v>Not Required</v>
      </c>
      <c r="AB171" s="89"/>
      <c r="AC171" s="99">
        <f>IF(AA171="Not Required",0,M171)</f>
        <v>0</v>
      </c>
      <c r="AD171" s="91" t="s">
        <v>224</v>
      </c>
      <c r="AE171" s="50"/>
      <c r="AF171" s="99">
        <f>IF(AA171="Not Required",0,M171)</f>
        <v>0</v>
      </c>
      <c r="AG171" s="91" t="s">
        <v>224</v>
      </c>
      <c r="AH171" s="87"/>
      <c r="AI171" s="88"/>
      <c r="AJ171" s="84" t="str">
        <f>IF(AL$30=$B$24,"Required","Not Required")</f>
        <v>Not Required</v>
      </c>
      <c r="AK171" s="89"/>
      <c r="AL171" s="99">
        <f>IF(AJ171="Not Required",0,O171)</f>
        <v>0</v>
      </c>
      <c r="AM171" s="91" t="s">
        <v>224</v>
      </c>
      <c r="AN171" s="50"/>
      <c r="AO171" s="99">
        <f>IF(AJ171="Not Required",0,O171)</f>
        <v>0</v>
      </c>
      <c r="AP171" s="91" t="s">
        <v>224</v>
      </c>
      <c r="AQ171" s="87"/>
      <c r="AR171" s="92"/>
      <c r="AS171" s="80" t="s">
        <v>471</v>
      </c>
    </row>
    <row r="172" spans="1:45" ht="3" hidden="1" customHeight="1" x14ac:dyDescent="0.2">
      <c r="A172" s="62"/>
      <c r="B172" s="85"/>
      <c r="C172" s="85"/>
      <c r="D172" s="85"/>
      <c r="E172" s="85"/>
      <c r="F172" s="85"/>
      <c r="G172" s="85"/>
      <c r="H172" s="85"/>
      <c r="I172" s="263"/>
      <c r="J172" s="264"/>
      <c r="K172" s="104"/>
      <c r="L172" s="105"/>
      <c r="M172" s="104"/>
      <c r="N172" s="105"/>
      <c r="O172" s="104"/>
      <c r="P172" s="89"/>
      <c r="Q172" s="298"/>
      <c r="R172" s="89"/>
      <c r="S172" s="89"/>
      <c r="Y172" s="87"/>
      <c r="Z172" s="88"/>
      <c r="AA172" s="89"/>
      <c r="AB172" s="89"/>
      <c r="AC172" s="58"/>
      <c r="AH172" s="87"/>
      <c r="AI172" s="88"/>
      <c r="AJ172" s="89"/>
      <c r="AK172" s="89"/>
      <c r="AL172" s="58"/>
      <c r="AQ172" s="87"/>
      <c r="AR172" s="92"/>
      <c r="AS172" s="81"/>
    </row>
    <row r="173" spans="1:45" hidden="1" x14ac:dyDescent="0.2">
      <c r="A173" s="62" t="s">
        <v>263</v>
      </c>
      <c r="B173" s="85"/>
      <c r="C173" s="85" t="s">
        <v>463</v>
      </c>
      <c r="D173" s="85"/>
      <c r="E173" s="85"/>
      <c r="F173" s="85"/>
      <c r="G173" s="85"/>
      <c r="H173" s="85"/>
      <c r="I173" s="98">
        <v>0.68</v>
      </c>
      <c r="J173" s="264" t="s">
        <v>224</v>
      </c>
      <c r="K173" s="127">
        <f>I173</f>
        <v>0.68</v>
      </c>
      <c r="L173" s="126"/>
      <c r="M173" s="127">
        <f>K173</f>
        <v>0.68</v>
      </c>
      <c r="N173" s="126"/>
      <c r="O173" s="127">
        <f>K173</f>
        <v>0.68</v>
      </c>
      <c r="P173" s="89"/>
      <c r="Q173" s="298"/>
      <c r="R173" s="84" t="str">
        <f>IF(T$30=$B$24,"Required","Not Required")</f>
        <v>Not Required</v>
      </c>
      <c r="S173" s="89"/>
      <c r="T173" s="99">
        <f>IF(R173="Not Required",0,K173)</f>
        <v>0</v>
      </c>
      <c r="U173" s="91" t="s">
        <v>224</v>
      </c>
      <c r="V173" s="50"/>
      <c r="W173" s="99">
        <f>IF(R173="Not Required",0,K173)</f>
        <v>0</v>
      </c>
      <c r="X173" s="91" t="s">
        <v>224</v>
      </c>
      <c r="Y173" s="87"/>
      <c r="Z173" s="88"/>
      <c r="AA173" s="84" t="str">
        <f>IF(AC$30=$B$24,"Required","Not Required")</f>
        <v>Not Required</v>
      </c>
      <c r="AB173" s="89"/>
      <c r="AC173" s="99">
        <f>IF(AA173="Not Required",0,M173)</f>
        <v>0</v>
      </c>
      <c r="AD173" s="91" t="s">
        <v>224</v>
      </c>
      <c r="AE173" s="50"/>
      <c r="AF173" s="99">
        <f>IF(AA173="Not Required",0,M173)</f>
        <v>0</v>
      </c>
      <c r="AG173" s="91" t="s">
        <v>224</v>
      </c>
      <c r="AH173" s="87"/>
      <c r="AI173" s="88"/>
      <c r="AJ173" s="84" t="str">
        <f>IF(AL$30=$B$24,"Required","Not Required")</f>
        <v>Not Required</v>
      </c>
      <c r="AK173" s="89"/>
      <c r="AL173" s="99">
        <f>IF(AJ173="Not Required",0,O173)</f>
        <v>0</v>
      </c>
      <c r="AM173" s="91" t="s">
        <v>224</v>
      </c>
      <c r="AN173" s="50"/>
      <c r="AO173" s="99">
        <f>IF(AJ173="Not Required",0,O173)</f>
        <v>0</v>
      </c>
      <c r="AP173" s="91" t="s">
        <v>224</v>
      </c>
      <c r="AQ173" s="87"/>
      <c r="AR173" s="92"/>
      <c r="AS173" s="80" t="s">
        <v>471</v>
      </c>
    </row>
    <row r="174" spans="1:45" ht="3" hidden="1" customHeight="1" x14ac:dyDescent="0.2">
      <c r="A174" s="62"/>
      <c r="B174" s="85"/>
      <c r="C174" s="85"/>
      <c r="D174" s="85"/>
      <c r="E174" s="85"/>
      <c r="F174" s="85"/>
      <c r="G174" s="85"/>
      <c r="H174" s="85"/>
      <c r="I174" s="263"/>
      <c r="J174" s="264"/>
      <c r="K174" s="104"/>
      <c r="L174" s="105"/>
      <c r="M174" s="104"/>
      <c r="N174" s="105"/>
      <c r="O174" s="104"/>
      <c r="P174" s="89"/>
      <c r="Q174" s="298"/>
      <c r="R174" s="89"/>
      <c r="S174" s="89"/>
      <c r="Y174" s="87"/>
      <c r="Z174" s="88"/>
      <c r="AA174" s="89"/>
      <c r="AB174" s="89"/>
      <c r="AC174" s="58"/>
      <c r="AH174" s="87"/>
      <c r="AI174" s="88"/>
      <c r="AJ174" s="89"/>
      <c r="AK174" s="89"/>
      <c r="AL174" s="58"/>
      <c r="AQ174" s="87"/>
      <c r="AR174" s="92"/>
      <c r="AS174" s="81"/>
    </row>
    <row r="175" spans="1:45" hidden="1" x14ac:dyDescent="0.2">
      <c r="A175" s="62" t="s">
        <v>263</v>
      </c>
      <c r="B175" s="85"/>
      <c r="C175" s="85" t="s">
        <v>464</v>
      </c>
      <c r="D175" s="85"/>
      <c r="E175" s="85"/>
      <c r="F175" s="85"/>
      <c r="G175" s="85"/>
      <c r="H175" s="85"/>
      <c r="I175" s="179">
        <f>IF(UnitsOfMeasure="Metric",ROUND(6000*ExchangeRate/100,0)*100,6000)</f>
        <v>6000</v>
      </c>
      <c r="J175" s="97" t="str">
        <f>IF(UnitsOfMeasure="Metric","€","$")</f>
        <v>$</v>
      </c>
      <c r="K175" s="268">
        <f>I175</f>
        <v>6000</v>
      </c>
      <c r="L175" s="82"/>
      <c r="M175" s="268">
        <f>K175</f>
        <v>6000</v>
      </c>
      <c r="N175" s="82"/>
      <c r="O175" s="268">
        <f>K175</f>
        <v>6000</v>
      </c>
      <c r="P175" s="89"/>
      <c r="Q175" s="298"/>
      <c r="R175" s="84" t="str">
        <f>IF(T$30=$B$24,"Required","Not Required")</f>
        <v>Not Required</v>
      </c>
      <c r="S175" s="89"/>
      <c r="T175" s="90">
        <f>IF(R175="Not Required",0,IF(UnitsOfMeasure="Metric",K175,K175*ExchangeRate))</f>
        <v>0</v>
      </c>
      <c r="U175" s="91" t="s">
        <v>251</v>
      </c>
      <c r="V175" s="50"/>
      <c r="W175" s="90">
        <f>IF(R175="Not Required",0,IF(UnitsOfMeasure="Imperial",K175,K175/ExchangeRate))</f>
        <v>0</v>
      </c>
      <c r="X175" s="91" t="s">
        <v>205</v>
      </c>
      <c r="Y175" s="87"/>
      <c r="Z175" s="88"/>
      <c r="AA175" s="84" t="str">
        <f>IF(AC$30=$B$24,"Required","Not Required")</f>
        <v>Not Required</v>
      </c>
      <c r="AB175" s="89"/>
      <c r="AC175" s="90">
        <f>IF(AA175="Not Required",0,IF(UnitsOfMeasure="Metric",M175,M175*ExchangeRate))</f>
        <v>0</v>
      </c>
      <c r="AD175" s="91" t="s">
        <v>251</v>
      </c>
      <c r="AE175" s="50"/>
      <c r="AF175" s="90">
        <f>IF(AA175="Not Required",0,IF(UnitsOfMeasure="Imperial",M175,M175/ExchangeRate))</f>
        <v>0</v>
      </c>
      <c r="AG175" s="91" t="s">
        <v>205</v>
      </c>
      <c r="AH175" s="87"/>
      <c r="AI175" s="88"/>
      <c r="AJ175" s="84" t="str">
        <f>IF(AL$30=$B$24,"Required","Not Required")</f>
        <v>Not Required</v>
      </c>
      <c r="AK175" s="89"/>
      <c r="AL175" s="90">
        <f>IF(AJ175="Not Required",0,IF(UnitsOfMeasure="Metric",O175,O175*ExchangeRate))</f>
        <v>0</v>
      </c>
      <c r="AM175" s="91" t="s">
        <v>251</v>
      </c>
      <c r="AN175" s="50"/>
      <c r="AO175" s="90">
        <f>IF(AJ175="Not Required",0,IF(UnitsOfMeasure="Imperial",O175,O175/ExchangeRate))</f>
        <v>0</v>
      </c>
      <c r="AP175" s="91" t="s">
        <v>205</v>
      </c>
      <c r="AQ175" s="87"/>
      <c r="AR175" s="92"/>
      <c r="AS175" s="80" t="s">
        <v>471</v>
      </c>
    </row>
    <row r="176" spans="1:45" ht="3" hidden="1" customHeight="1" x14ac:dyDescent="0.2">
      <c r="A176" s="62"/>
      <c r="B176" s="85"/>
      <c r="C176" s="85"/>
      <c r="D176" s="85"/>
      <c r="E176" s="85"/>
      <c r="F176" s="85"/>
      <c r="G176" s="85"/>
      <c r="H176" s="85"/>
      <c r="I176" s="263"/>
      <c r="J176" s="264"/>
      <c r="K176" s="104"/>
      <c r="L176" s="105"/>
      <c r="M176" s="104"/>
      <c r="N176" s="105"/>
      <c r="O176" s="104"/>
      <c r="P176" s="89"/>
      <c r="Q176" s="298"/>
      <c r="R176" s="89"/>
      <c r="S176" s="89"/>
      <c r="Y176" s="87"/>
      <c r="Z176" s="88"/>
      <c r="AA176" s="89"/>
      <c r="AB176" s="89"/>
      <c r="AC176" s="58"/>
      <c r="AH176" s="87"/>
      <c r="AI176" s="88"/>
      <c r="AJ176" s="89"/>
      <c r="AK176" s="89"/>
      <c r="AL176" s="58"/>
      <c r="AQ176" s="87"/>
      <c r="AR176" s="92"/>
      <c r="AS176" s="81"/>
    </row>
    <row r="177" spans="1:45" hidden="1" x14ac:dyDescent="0.2">
      <c r="A177" s="62" t="s">
        <v>263</v>
      </c>
      <c r="B177" s="85"/>
      <c r="C177" s="85" t="s">
        <v>465</v>
      </c>
      <c r="D177" s="85"/>
      <c r="E177" s="85"/>
      <c r="F177" s="85"/>
      <c r="G177" s="85"/>
      <c r="H177" s="85"/>
      <c r="I177" s="263">
        <v>36</v>
      </c>
      <c r="J177" s="264" t="s">
        <v>208</v>
      </c>
      <c r="K177" s="125">
        <f>I177</f>
        <v>36</v>
      </c>
      <c r="L177" s="126"/>
      <c r="M177" s="125">
        <f>K177</f>
        <v>36</v>
      </c>
      <c r="N177" s="126"/>
      <c r="O177" s="125">
        <f>K177</f>
        <v>36</v>
      </c>
      <c r="P177" s="89"/>
      <c r="Q177" s="298"/>
      <c r="R177" s="84" t="str">
        <f>IF(T$30=$B$24,"Required","Not Required")</f>
        <v>Not Required</v>
      </c>
      <c r="S177" s="89"/>
      <c r="T177" s="90">
        <f>IF(R177="Not Required",0,K177)</f>
        <v>0</v>
      </c>
      <c r="U177" s="91" t="s">
        <v>252</v>
      </c>
      <c r="V177" s="50"/>
      <c r="W177" s="90">
        <f>IF(R177="Not Required",0,K177)</f>
        <v>0</v>
      </c>
      <c r="X177" s="91" t="s">
        <v>252</v>
      </c>
      <c r="Y177" s="87"/>
      <c r="Z177" s="88"/>
      <c r="AA177" s="84" t="str">
        <f>IF(AC$30=$B$24,"Required","Not Required")</f>
        <v>Not Required</v>
      </c>
      <c r="AB177" s="89"/>
      <c r="AC177" s="90">
        <f>IF(AA177="Not Required",0,M177)</f>
        <v>0</v>
      </c>
      <c r="AD177" s="91" t="s">
        <v>252</v>
      </c>
      <c r="AE177" s="50"/>
      <c r="AF177" s="90">
        <f>IF(AA177="Not Required",0,M177)</f>
        <v>0</v>
      </c>
      <c r="AG177" s="91" t="s">
        <v>252</v>
      </c>
      <c r="AH177" s="87"/>
      <c r="AI177" s="88"/>
      <c r="AJ177" s="84" t="str">
        <f>IF(AL$30=$B$24,"Required","Not Required")</f>
        <v>Not Required</v>
      </c>
      <c r="AK177" s="89"/>
      <c r="AL177" s="90">
        <f>IF(AJ177="Not Required",0,O177)</f>
        <v>0</v>
      </c>
      <c r="AM177" s="91" t="s">
        <v>252</v>
      </c>
      <c r="AN177" s="50"/>
      <c r="AO177" s="90">
        <f>IF(AJ177="Not Required",0,O177)</f>
        <v>0</v>
      </c>
      <c r="AP177" s="91" t="s">
        <v>252</v>
      </c>
      <c r="AQ177" s="87"/>
      <c r="AR177" s="92"/>
      <c r="AS177" s="80" t="s">
        <v>471</v>
      </c>
    </row>
    <row r="178" spans="1:45" ht="3" hidden="1" customHeight="1" x14ac:dyDescent="0.2">
      <c r="A178" s="62"/>
      <c r="B178" s="85"/>
      <c r="C178" s="85"/>
      <c r="D178" s="85"/>
      <c r="E178" s="85"/>
      <c r="F178" s="85"/>
      <c r="G178" s="85"/>
      <c r="H178" s="85"/>
      <c r="I178" s="263"/>
      <c r="J178" s="264"/>
      <c r="K178" s="104"/>
      <c r="L178" s="105"/>
      <c r="M178" s="104"/>
      <c r="N178" s="105"/>
      <c r="O178" s="104"/>
      <c r="P178" s="89"/>
      <c r="Q178" s="298"/>
      <c r="R178" s="89"/>
      <c r="S178" s="89"/>
      <c r="Y178" s="87"/>
      <c r="Z178" s="88"/>
      <c r="AA178" s="89"/>
      <c r="AB178" s="89"/>
      <c r="AC178" s="58"/>
      <c r="AH178" s="87"/>
      <c r="AI178" s="88"/>
      <c r="AJ178" s="89"/>
      <c r="AK178" s="89"/>
      <c r="AL178" s="58"/>
      <c r="AQ178" s="87"/>
      <c r="AR178" s="92"/>
      <c r="AS178" s="81"/>
    </row>
    <row r="179" spans="1:45" hidden="1" x14ac:dyDescent="0.2">
      <c r="A179" s="62" t="s">
        <v>263</v>
      </c>
      <c r="B179" s="85"/>
      <c r="C179" s="85" t="s">
        <v>466</v>
      </c>
      <c r="D179" s="85"/>
      <c r="E179" s="85"/>
      <c r="F179" s="85"/>
      <c r="G179" s="85"/>
      <c r="H179" s="85"/>
      <c r="I179" s="96">
        <v>4</v>
      </c>
      <c r="J179" s="97" t="s">
        <v>147</v>
      </c>
      <c r="K179" s="125">
        <f>I179</f>
        <v>4</v>
      </c>
      <c r="L179" s="126"/>
      <c r="M179" s="125">
        <f>K179</f>
        <v>4</v>
      </c>
      <c r="N179" s="126"/>
      <c r="O179" s="125">
        <f>K179</f>
        <v>4</v>
      </c>
      <c r="P179" s="89"/>
      <c r="Q179" s="298"/>
      <c r="R179" s="84" t="str">
        <f>IF(T$30=$B$24,"Required","Not Required")</f>
        <v>Not Required</v>
      </c>
      <c r="S179" s="89"/>
      <c r="T179" s="90">
        <f>IF(R179="Not Required",0,K179)</f>
        <v>0</v>
      </c>
      <c r="U179" s="91" t="s">
        <v>147</v>
      </c>
      <c r="V179" s="50"/>
      <c r="W179" s="90">
        <f>IF(R179="Not Required",0,K179)</f>
        <v>0</v>
      </c>
      <c r="X179" s="91" t="s">
        <v>147</v>
      </c>
      <c r="Y179" s="87"/>
      <c r="Z179" s="88"/>
      <c r="AA179" s="84" t="str">
        <f>IF(AC$30=$B$24,"Required","Not Required")</f>
        <v>Not Required</v>
      </c>
      <c r="AB179" s="89"/>
      <c r="AC179" s="90">
        <f>IF(AA179="Not Required",0,M179)</f>
        <v>0</v>
      </c>
      <c r="AD179" s="91" t="s">
        <v>147</v>
      </c>
      <c r="AE179" s="50"/>
      <c r="AF179" s="90">
        <f>IF(AA179="Not Required",0,M179)</f>
        <v>0</v>
      </c>
      <c r="AG179" s="91" t="s">
        <v>147</v>
      </c>
      <c r="AH179" s="87"/>
      <c r="AI179" s="88"/>
      <c r="AJ179" s="84" t="str">
        <f>IF(AL$30=$B$24,"Required","Not Required")</f>
        <v>Not Required</v>
      </c>
      <c r="AK179" s="89"/>
      <c r="AL179" s="90">
        <f>IF(AJ179="Not Required",0,O179)</f>
        <v>0</v>
      </c>
      <c r="AM179" s="91" t="s">
        <v>147</v>
      </c>
      <c r="AN179" s="50"/>
      <c r="AO179" s="90">
        <f>IF(AJ179="Not Required",0,O179)</f>
        <v>0</v>
      </c>
      <c r="AP179" s="91" t="s">
        <v>147</v>
      </c>
      <c r="AQ179" s="87"/>
      <c r="AR179" s="92"/>
      <c r="AS179" s="80" t="s">
        <v>471</v>
      </c>
    </row>
    <row r="180" spans="1:45" ht="3" hidden="1" customHeight="1" x14ac:dyDescent="0.2">
      <c r="A180" s="62"/>
      <c r="B180" s="85"/>
      <c r="C180" s="85"/>
      <c r="D180" s="85"/>
      <c r="E180" s="85"/>
      <c r="F180" s="85"/>
      <c r="G180" s="85"/>
      <c r="H180" s="85"/>
      <c r="I180" s="263"/>
      <c r="J180" s="264"/>
      <c r="K180" s="104"/>
      <c r="L180" s="105"/>
      <c r="M180" s="104"/>
      <c r="N180" s="105"/>
      <c r="O180" s="104"/>
      <c r="P180" s="89"/>
      <c r="Q180" s="298"/>
      <c r="R180" s="89"/>
      <c r="S180" s="89"/>
      <c r="Y180" s="87"/>
      <c r="Z180" s="88"/>
      <c r="AA180" s="89"/>
      <c r="AB180" s="89"/>
      <c r="AC180" s="58"/>
      <c r="AH180" s="87"/>
      <c r="AI180" s="88"/>
      <c r="AJ180" s="89"/>
      <c r="AK180" s="89"/>
      <c r="AL180" s="58"/>
      <c r="AQ180" s="87"/>
      <c r="AR180" s="92"/>
      <c r="AS180" s="81"/>
    </row>
    <row r="181" spans="1:45" hidden="1" x14ac:dyDescent="0.2">
      <c r="A181" s="62" t="s">
        <v>263</v>
      </c>
      <c r="B181" s="85"/>
      <c r="C181" s="85" t="s">
        <v>467</v>
      </c>
      <c r="D181" s="85"/>
      <c r="E181" s="85"/>
      <c r="F181" s="85"/>
      <c r="G181" s="85"/>
      <c r="H181" s="85"/>
      <c r="I181" s="98">
        <v>0.75</v>
      </c>
      <c r="J181" s="264" t="s">
        <v>210</v>
      </c>
      <c r="K181" s="127">
        <f>I181</f>
        <v>0.75</v>
      </c>
      <c r="L181" s="126"/>
      <c r="M181" s="127">
        <f>K181</f>
        <v>0.75</v>
      </c>
      <c r="N181" s="126"/>
      <c r="O181" s="127">
        <f>K181</f>
        <v>0.75</v>
      </c>
      <c r="P181" s="89"/>
      <c r="Q181" s="298"/>
      <c r="R181" s="84" t="str">
        <f>IF(T$30=$B$24,"Required","Not Required")</f>
        <v>Not Required</v>
      </c>
      <c r="S181" s="89"/>
      <c r="T181" s="99">
        <f>IF(R181="Not Required",0,K181)</f>
        <v>0</v>
      </c>
      <c r="U181" s="91" t="s">
        <v>224</v>
      </c>
      <c r="V181" s="50"/>
      <c r="W181" s="99">
        <f>IF(R181="Not Required",0,K181)</f>
        <v>0</v>
      </c>
      <c r="X181" s="91" t="s">
        <v>224</v>
      </c>
      <c r="Y181" s="87"/>
      <c r="Z181" s="88"/>
      <c r="AA181" s="84" t="str">
        <f>IF(AC$30=$B$24,"Required","Not Required")</f>
        <v>Not Required</v>
      </c>
      <c r="AB181" s="89"/>
      <c r="AC181" s="99">
        <f>IF(AA181="Not Required",0,M181)</f>
        <v>0</v>
      </c>
      <c r="AD181" s="91" t="s">
        <v>224</v>
      </c>
      <c r="AE181" s="50"/>
      <c r="AF181" s="99">
        <f>IF(AA181="Not Required",0,M181)</f>
        <v>0</v>
      </c>
      <c r="AG181" s="91" t="s">
        <v>224</v>
      </c>
      <c r="AH181" s="87"/>
      <c r="AI181" s="88"/>
      <c r="AJ181" s="84" t="str">
        <f>IF(AL$30=$B$24,"Required","Not Required")</f>
        <v>Not Required</v>
      </c>
      <c r="AK181" s="89"/>
      <c r="AL181" s="99">
        <f>IF(AJ181="Not Required",0,O181)</f>
        <v>0</v>
      </c>
      <c r="AM181" s="91" t="s">
        <v>224</v>
      </c>
      <c r="AN181" s="50"/>
      <c r="AO181" s="99">
        <f>IF(AJ181="Not Required",0,O181)</f>
        <v>0</v>
      </c>
      <c r="AP181" s="91" t="s">
        <v>224</v>
      </c>
      <c r="AQ181" s="87"/>
      <c r="AR181" s="92"/>
      <c r="AS181" s="80" t="s">
        <v>471</v>
      </c>
    </row>
    <row r="182" spans="1:45" ht="3" hidden="1" customHeight="1" x14ac:dyDescent="0.2">
      <c r="A182" s="62"/>
      <c r="B182" s="85"/>
      <c r="C182" s="85"/>
      <c r="D182" s="85"/>
      <c r="E182" s="85"/>
      <c r="F182" s="85"/>
      <c r="G182" s="85"/>
      <c r="H182" s="85"/>
      <c r="I182" s="263"/>
      <c r="J182" s="264"/>
      <c r="K182" s="104"/>
      <c r="L182" s="105"/>
      <c r="M182" s="104"/>
      <c r="N182" s="105"/>
      <c r="O182" s="104"/>
      <c r="P182" s="89"/>
      <c r="Q182" s="298"/>
      <c r="R182" s="89"/>
      <c r="S182" s="89"/>
      <c r="Y182" s="87"/>
      <c r="Z182" s="88"/>
      <c r="AA182" s="89"/>
      <c r="AB182" s="89"/>
      <c r="AC182" s="58"/>
      <c r="AH182" s="87"/>
      <c r="AI182" s="88"/>
      <c r="AJ182" s="89"/>
      <c r="AK182" s="89"/>
      <c r="AL182" s="58"/>
      <c r="AQ182" s="87"/>
      <c r="AR182" s="92"/>
      <c r="AS182" s="81"/>
    </row>
    <row r="183" spans="1:45" hidden="1" x14ac:dyDescent="0.2">
      <c r="A183" s="62" t="s">
        <v>263</v>
      </c>
      <c r="B183" s="85"/>
      <c r="C183" s="85" t="s">
        <v>468</v>
      </c>
      <c r="D183" s="85"/>
      <c r="E183" s="85"/>
      <c r="F183" s="85"/>
      <c r="G183" s="85"/>
      <c r="H183" s="85"/>
      <c r="I183" s="98">
        <v>0.05</v>
      </c>
      <c r="J183" s="264" t="s">
        <v>210</v>
      </c>
      <c r="K183" s="127">
        <f>I183</f>
        <v>0.05</v>
      </c>
      <c r="L183" s="126"/>
      <c r="M183" s="127">
        <f>K183</f>
        <v>0.05</v>
      </c>
      <c r="N183" s="126"/>
      <c r="O183" s="127">
        <f>K183</f>
        <v>0.05</v>
      </c>
      <c r="P183" s="89"/>
      <c r="Q183" s="298"/>
      <c r="R183" s="84" t="str">
        <f>IF(T$30=$B$24,"Required","Not Required")</f>
        <v>Not Required</v>
      </c>
      <c r="S183" s="89"/>
      <c r="T183" s="99">
        <f>IF(R183="Not Required",0,K183)</f>
        <v>0</v>
      </c>
      <c r="U183" s="91" t="s">
        <v>224</v>
      </c>
      <c r="V183" s="50"/>
      <c r="W183" s="99">
        <f>IF(R183="Not Required",0,K183)</f>
        <v>0</v>
      </c>
      <c r="X183" s="91" t="s">
        <v>224</v>
      </c>
      <c r="Y183" s="87"/>
      <c r="Z183" s="88"/>
      <c r="AA183" s="84" t="str">
        <f>IF(AC$30=$B$24,"Required","Not Required")</f>
        <v>Not Required</v>
      </c>
      <c r="AB183" s="89"/>
      <c r="AC183" s="99">
        <f>IF(AA183="Not Required",0,M183)</f>
        <v>0</v>
      </c>
      <c r="AD183" s="91" t="s">
        <v>224</v>
      </c>
      <c r="AE183" s="50"/>
      <c r="AF183" s="99">
        <f>IF(AA183="Not Required",0,M183)</f>
        <v>0</v>
      </c>
      <c r="AG183" s="91" t="s">
        <v>224</v>
      </c>
      <c r="AH183" s="87"/>
      <c r="AI183" s="88"/>
      <c r="AJ183" s="84" t="str">
        <f>IF(AL$30=$B$24,"Required","Not Required")</f>
        <v>Not Required</v>
      </c>
      <c r="AK183" s="89"/>
      <c r="AL183" s="99">
        <f>IF(AJ183="Not Required",0,O183)</f>
        <v>0</v>
      </c>
      <c r="AM183" s="91" t="s">
        <v>224</v>
      </c>
      <c r="AN183" s="50"/>
      <c r="AO183" s="99">
        <f>IF(AJ183="Not Required",0,O183)</f>
        <v>0</v>
      </c>
      <c r="AP183" s="91" t="s">
        <v>224</v>
      </c>
      <c r="AQ183" s="87"/>
      <c r="AR183" s="92"/>
      <c r="AS183" s="80" t="s">
        <v>471</v>
      </c>
    </row>
    <row r="184" spans="1:45" ht="15" hidden="1" thickBot="1" x14ac:dyDescent="0.25">
      <c r="A184" s="62"/>
      <c r="B184" s="85"/>
      <c r="C184" s="85"/>
      <c r="D184" s="85"/>
      <c r="E184" s="85"/>
      <c r="F184" s="85"/>
      <c r="G184" s="85"/>
      <c r="H184" s="85"/>
      <c r="I184" s="263"/>
      <c r="J184" s="264"/>
      <c r="K184" s="104"/>
      <c r="L184" s="105"/>
      <c r="M184" s="104"/>
      <c r="N184" s="105"/>
      <c r="O184" s="104"/>
      <c r="P184" s="89"/>
      <c r="Q184" s="298"/>
      <c r="R184" s="89"/>
      <c r="S184" s="89"/>
      <c r="Y184" s="87"/>
      <c r="Z184" s="88"/>
      <c r="AA184" s="89"/>
      <c r="AB184" s="89"/>
      <c r="AC184" s="58"/>
      <c r="AH184" s="87"/>
      <c r="AI184" s="88"/>
      <c r="AJ184" s="89"/>
      <c r="AK184" s="89"/>
      <c r="AL184" s="58"/>
      <c r="AQ184" s="87"/>
      <c r="AR184" s="92"/>
      <c r="AS184" s="81"/>
    </row>
    <row r="185" spans="1:45" ht="24" customHeight="1" x14ac:dyDescent="0.2">
      <c r="B185" s="255" t="s">
        <v>226</v>
      </c>
      <c r="C185" s="256"/>
      <c r="D185" s="256"/>
      <c r="E185" s="256"/>
      <c r="F185" s="256"/>
      <c r="G185" s="256"/>
      <c r="H185" s="256"/>
      <c r="I185" s="257" t="s">
        <v>129</v>
      </c>
      <c r="J185" s="258" t="s">
        <v>130</v>
      </c>
      <c r="K185" s="77"/>
      <c r="L185" s="78"/>
      <c r="M185" s="77"/>
      <c r="N185" s="79"/>
      <c r="O185" s="77"/>
      <c r="P185" s="89"/>
      <c r="Q185" s="298"/>
      <c r="T185" s="43"/>
      <c r="Y185" s="87"/>
      <c r="Z185" s="88"/>
      <c r="AH185" s="87"/>
      <c r="AI185" s="88"/>
      <c r="AQ185" s="87"/>
      <c r="AR185" s="92"/>
      <c r="AS185" s="80"/>
    </row>
    <row r="186" spans="1:45" ht="3" customHeight="1" x14ac:dyDescent="0.2">
      <c r="B186" s="50"/>
      <c r="C186" s="50"/>
      <c r="D186" s="50"/>
      <c r="E186" s="50"/>
      <c r="F186" s="50"/>
      <c r="G186" s="50"/>
      <c r="H186" s="50"/>
      <c r="I186" s="96"/>
      <c r="J186" s="97"/>
      <c r="P186" s="89"/>
      <c r="Q186" s="298"/>
      <c r="R186" s="89"/>
      <c r="S186" s="89"/>
      <c r="Y186" s="87"/>
      <c r="Z186" s="88"/>
      <c r="AA186" s="89"/>
      <c r="AB186" s="89"/>
      <c r="AC186" s="58"/>
      <c r="AH186" s="87"/>
      <c r="AI186" s="88"/>
      <c r="AJ186" s="89"/>
      <c r="AK186" s="89"/>
      <c r="AL186" s="58"/>
      <c r="AQ186" s="87"/>
      <c r="AR186" s="92"/>
      <c r="AS186" s="81"/>
    </row>
    <row r="187" spans="1:45" x14ac:dyDescent="0.2">
      <c r="B187" s="50"/>
      <c r="C187" s="50" t="s">
        <v>227</v>
      </c>
      <c r="D187" s="50"/>
      <c r="E187" s="50"/>
      <c r="F187" s="50"/>
      <c r="G187" s="50"/>
      <c r="H187" s="50"/>
      <c r="I187" s="100">
        <f>ROUND(IF(UnitsOfMeasure="Metric",$AD$8/1000,$AD$8/(1000*$U$13)),5)</f>
        <v>1.32E-3</v>
      </c>
      <c r="J187" s="97" t="str">
        <f>IF(UnitsOfMeasure="Metric","l / hr","Gallons/hr")</f>
        <v>Gallons/hr</v>
      </c>
      <c r="K187" s="125">
        <f>I187</f>
        <v>1.32E-3</v>
      </c>
      <c r="L187" s="126"/>
      <c r="M187" s="125">
        <f>K187</f>
        <v>1.32E-3</v>
      </c>
      <c r="N187" s="126"/>
      <c r="O187" s="125">
        <f>K187</f>
        <v>1.32E-3</v>
      </c>
      <c r="P187" s="89"/>
      <c r="Q187" s="298"/>
      <c r="R187" s="84" t="str">
        <f>IF(OR(T$30=$B$13,T$30=$B$14,T$30=$B$15),"Required","Not Required")</f>
        <v>Not Required</v>
      </c>
      <c r="S187" s="89"/>
      <c r="T187" s="90">
        <f>IF(UnitsOfMeasure="Metric",K187,K187*$U$13)</f>
        <v>4.9967411999999999E-3</v>
      </c>
      <c r="U187" s="91" t="s">
        <v>176</v>
      </c>
      <c r="V187" s="50"/>
      <c r="W187" s="90">
        <f>IF(UnitsOfMeasure="Imperial",K187,K187/$U$13)</f>
        <v>1.32E-3</v>
      </c>
      <c r="X187" s="91" t="s">
        <v>259</v>
      </c>
      <c r="Y187" s="87"/>
      <c r="Z187" s="88"/>
      <c r="AA187" s="84" t="str">
        <f>IF(OR(AC$30=$B$13,AC$30=$B$14,AC$30=$B$15),"Required","Not Required")</f>
        <v>Not Required</v>
      </c>
      <c r="AB187" s="89"/>
      <c r="AC187" s="90">
        <f>IF(UnitsOfMeasure="Metric",M187,M187*$U$13)</f>
        <v>4.9967411999999999E-3</v>
      </c>
      <c r="AD187" s="91" t="s">
        <v>176</v>
      </c>
      <c r="AE187" s="50"/>
      <c r="AF187" s="90">
        <f>IF(UnitsOfMeasure="Imperial",M187,M187/$U$13)</f>
        <v>1.32E-3</v>
      </c>
      <c r="AG187" s="91" t="s">
        <v>259</v>
      </c>
      <c r="AH187" s="87"/>
      <c r="AI187" s="88"/>
      <c r="AJ187" s="84" t="str">
        <f>IF(OR(AL$30=$B$13,AL$30=$B$14,AL$30=$B$15),"Required","Not Required")</f>
        <v>Not Required</v>
      </c>
      <c r="AK187" s="89"/>
      <c r="AL187" s="90">
        <f>IF(UnitsOfMeasure="Metric",O187,O187*$U$13)</f>
        <v>4.9967411999999999E-3</v>
      </c>
      <c r="AM187" s="91" t="s">
        <v>176</v>
      </c>
      <c r="AN187" s="50"/>
      <c r="AO187" s="90">
        <f>IF(UnitsOfMeasure="Imperial",O187,O187/$U$13)</f>
        <v>1.32E-3</v>
      </c>
      <c r="AP187" s="91" t="s">
        <v>259</v>
      </c>
      <c r="AQ187" s="87"/>
      <c r="AR187" s="92"/>
      <c r="AS187" s="80" t="s">
        <v>456</v>
      </c>
    </row>
    <row r="188" spans="1:45" ht="3" customHeight="1" x14ac:dyDescent="0.2">
      <c r="B188" s="50"/>
      <c r="C188" s="50"/>
      <c r="D188" s="50"/>
      <c r="E188" s="50"/>
      <c r="F188" s="50"/>
      <c r="G188" s="50"/>
      <c r="H188" s="50"/>
      <c r="I188" s="266"/>
      <c r="J188" s="248"/>
      <c r="K188" s="43"/>
      <c r="P188" s="89"/>
      <c r="Q188" s="298"/>
      <c r="R188" s="89"/>
      <c r="S188" s="89"/>
      <c r="Y188" s="87"/>
      <c r="Z188" s="88"/>
      <c r="AA188" s="89"/>
      <c r="AB188" s="89"/>
      <c r="AC188" s="58"/>
      <c r="AH188" s="87"/>
      <c r="AI188" s="88"/>
      <c r="AJ188" s="89"/>
      <c r="AK188" s="89"/>
      <c r="AL188" s="58"/>
      <c r="AQ188" s="87"/>
      <c r="AR188" s="92"/>
      <c r="AS188" s="81"/>
    </row>
    <row r="189" spans="1:45" x14ac:dyDescent="0.2">
      <c r="B189" s="50"/>
      <c r="C189" s="50" t="s">
        <v>228</v>
      </c>
      <c r="D189" s="50"/>
      <c r="E189" s="50"/>
      <c r="F189" s="50"/>
      <c r="G189" s="50"/>
      <c r="H189" s="50"/>
      <c r="I189" s="96">
        <f>IF(UnitsOfMeasure="Metric",0.1*I93,1*I93)</f>
        <v>1.75</v>
      </c>
      <c r="J189" s="97" t="str">
        <f>IF(UnitsOfMeasure="Metric","l / min","GPM")</f>
        <v>GPM</v>
      </c>
      <c r="K189" s="125">
        <f>I189</f>
        <v>1.75</v>
      </c>
      <c r="L189" s="126"/>
      <c r="M189" s="125">
        <f>K189</f>
        <v>1.75</v>
      </c>
      <c r="N189" s="126"/>
      <c r="O189" s="125">
        <f>K189</f>
        <v>1.75</v>
      </c>
      <c r="P189" s="89"/>
      <c r="Q189" s="298"/>
      <c r="R189" s="84" t="str">
        <f>IF(OR(T$30=$B$10,T$30=$B$11,T$30=$B$12),"Required","Not Required")</f>
        <v>Required</v>
      </c>
      <c r="S189" s="89"/>
      <c r="T189" s="90">
        <f>IF(R189="Not Required",0,IF(UnitsOfMeasure="Metric",K189,K189*$U$13))</f>
        <v>6.6244675000000006</v>
      </c>
      <c r="U189" s="91" t="s">
        <v>257</v>
      </c>
      <c r="V189" s="50"/>
      <c r="W189" s="90">
        <f>IF(R189="Not Required",0,IF(UnitsOfMeasure="Imperial",K189,K189/$U$13))</f>
        <v>1.75</v>
      </c>
      <c r="X189" s="91" t="s">
        <v>177</v>
      </c>
      <c r="Y189" s="87"/>
      <c r="Z189" s="88"/>
      <c r="AA189" s="84" t="str">
        <f>IF(OR(AC$30=$B$10,AC$30=$B$11,AC$30=$B$12),"Required","Not Required")</f>
        <v>Required</v>
      </c>
      <c r="AB189" s="89"/>
      <c r="AC189" s="90">
        <f>IF(AA189="Not Required",0,IF(UnitsOfMeasure="Metric",M189,M189*$U$13))</f>
        <v>6.6244675000000006</v>
      </c>
      <c r="AD189" s="91" t="s">
        <v>257</v>
      </c>
      <c r="AE189" s="50"/>
      <c r="AF189" s="90">
        <f>IF(AA189="Not Required",0,IF(UnitsOfMeasure="Imperial",M189,M189/$U$13))</f>
        <v>1.75</v>
      </c>
      <c r="AG189" s="91" t="s">
        <v>177</v>
      </c>
      <c r="AH189" s="87"/>
      <c r="AI189" s="88"/>
      <c r="AJ189" s="84" t="str">
        <f>IF(OR(AL$30=$B$10,AL$30=$B$11,AL$30=$B$12),"Required","Not Required")</f>
        <v>Not Required</v>
      </c>
      <c r="AK189" s="89"/>
      <c r="AL189" s="90">
        <f>IF(AJ189="Not Required",0,IF(UnitsOfMeasure="Metric",O189,O189*$U$13))</f>
        <v>0</v>
      </c>
      <c r="AM189" s="91" t="s">
        <v>257</v>
      </c>
      <c r="AN189" s="50"/>
      <c r="AO189" s="90">
        <f>IF(AJ189="Not Required",0,IF(UnitsOfMeasure="Imperial",O189,O189/$U$13))</f>
        <v>0</v>
      </c>
      <c r="AP189" s="91" t="s">
        <v>177</v>
      </c>
      <c r="AQ189" s="87"/>
      <c r="AR189" s="92"/>
      <c r="AS189" s="80" t="s">
        <v>260</v>
      </c>
    </row>
    <row r="190" spans="1:45" ht="3" customHeight="1" x14ac:dyDescent="0.2">
      <c r="B190" s="50"/>
      <c r="C190" s="50"/>
      <c r="D190" s="50"/>
      <c r="E190" s="50"/>
      <c r="F190" s="50"/>
      <c r="G190" s="50"/>
      <c r="H190" s="50"/>
      <c r="I190" s="266"/>
      <c r="J190" s="248"/>
      <c r="K190" s="43"/>
      <c r="P190" s="89"/>
      <c r="Q190" s="298"/>
      <c r="R190" s="89"/>
      <c r="S190" s="89"/>
      <c r="Y190" s="87"/>
      <c r="Z190" s="88"/>
      <c r="AA190" s="89"/>
      <c r="AB190" s="89"/>
      <c r="AC190" s="58"/>
      <c r="AH190" s="87"/>
      <c r="AI190" s="88"/>
      <c r="AJ190" s="89"/>
      <c r="AK190" s="89"/>
      <c r="AL190" s="58"/>
      <c r="AQ190" s="87"/>
      <c r="AR190" s="92"/>
      <c r="AS190" s="81"/>
    </row>
    <row r="191" spans="1:45" x14ac:dyDescent="0.2">
      <c r="B191" s="50"/>
      <c r="C191" s="50" t="s">
        <v>229</v>
      </c>
      <c r="D191" s="50"/>
      <c r="E191" s="50"/>
      <c r="F191" s="50"/>
      <c r="G191" s="50"/>
      <c r="H191" s="50"/>
      <c r="I191" s="96" t="s">
        <v>221</v>
      </c>
      <c r="J191" s="101" t="s">
        <v>256</v>
      </c>
      <c r="K191" s="125" t="s">
        <v>221</v>
      </c>
      <c r="L191" s="126"/>
      <c r="M191" s="125" t="s">
        <v>221</v>
      </c>
      <c r="N191" s="126"/>
      <c r="O191" s="125" t="s">
        <v>221</v>
      </c>
      <c r="P191" s="89"/>
      <c r="Q191" s="298"/>
      <c r="R191" s="84" t="str">
        <f>IF(OR(T$30=$B$10,T$30=$B$11,T$30=$B$12),"Required","Not Required")</f>
        <v>Required</v>
      </c>
      <c r="S191" s="89"/>
      <c r="T191" s="90" t="str">
        <f>IF(R191="Not Required",0,K191)</f>
        <v>Water</v>
      </c>
      <c r="U191" s="102" t="s">
        <v>256</v>
      </c>
      <c r="V191" s="50"/>
      <c r="W191" s="90" t="str">
        <f>IF(R191="Not Required",0,K191)</f>
        <v>Water</v>
      </c>
      <c r="X191" s="102" t="s">
        <v>256</v>
      </c>
      <c r="Y191" s="87"/>
      <c r="Z191" s="88"/>
      <c r="AA191" s="84" t="str">
        <f>IF(OR(AC$30=$B$10,AC$30=$B$11,AC$30=$B$12),"Required","Not Required")</f>
        <v>Required</v>
      </c>
      <c r="AB191" s="89"/>
      <c r="AC191" s="90" t="str">
        <f>IF(AA191="Not Required",0,M191)</f>
        <v>Water</v>
      </c>
      <c r="AD191" s="102" t="s">
        <v>256</v>
      </c>
      <c r="AE191" s="50"/>
      <c r="AF191" s="90" t="str">
        <f>IF(AA191="Not Required",0,M191)</f>
        <v>Water</v>
      </c>
      <c r="AG191" s="102" t="s">
        <v>256</v>
      </c>
      <c r="AH191" s="87"/>
      <c r="AI191" s="88"/>
      <c r="AJ191" s="84" t="str">
        <f>IF(OR(AL$30=$B$10,AL$30=$B$11,AL$30=$B$12),"Required","Not Required")</f>
        <v>Not Required</v>
      </c>
      <c r="AK191" s="89"/>
      <c r="AL191" s="90">
        <f>IF(AJ191="Not Required",0,O191)</f>
        <v>0</v>
      </c>
      <c r="AM191" s="102" t="s">
        <v>256</v>
      </c>
      <c r="AN191" s="50"/>
      <c r="AO191" s="90">
        <f>IF(AJ191="Not Required",0,O191)</f>
        <v>0</v>
      </c>
      <c r="AP191" s="102" t="s">
        <v>256</v>
      </c>
      <c r="AQ191" s="87"/>
      <c r="AR191" s="92"/>
      <c r="AS191" s="80" t="s">
        <v>260</v>
      </c>
    </row>
    <row r="192" spans="1:45" ht="3" customHeight="1" x14ac:dyDescent="0.2">
      <c r="B192" s="50"/>
      <c r="C192" s="50"/>
      <c r="D192" s="50"/>
      <c r="E192" s="50"/>
      <c r="F192" s="50"/>
      <c r="G192" s="50"/>
      <c r="H192" s="50"/>
      <c r="I192" s="96"/>
      <c r="J192" s="97"/>
      <c r="K192" s="43"/>
      <c r="P192" s="89"/>
      <c r="Q192" s="298"/>
      <c r="R192" s="89"/>
      <c r="S192" s="89"/>
      <c r="T192" s="43"/>
      <c r="Y192" s="87"/>
      <c r="Z192" s="88"/>
      <c r="AA192" s="89"/>
      <c r="AB192" s="89"/>
      <c r="AH192" s="87"/>
      <c r="AI192" s="88"/>
      <c r="AJ192" s="89"/>
      <c r="AK192" s="89"/>
      <c r="AQ192" s="87"/>
      <c r="AR192" s="92"/>
      <c r="AS192" s="81"/>
    </row>
    <row r="193" spans="1:45" ht="15" hidden="1" customHeight="1" x14ac:dyDescent="0.2">
      <c r="A193" s="62" t="s">
        <v>263</v>
      </c>
      <c r="B193" s="50"/>
      <c r="C193" s="262" t="s">
        <v>480</v>
      </c>
      <c r="D193" s="50"/>
      <c r="E193" s="50"/>
      <c r="F193" s="50"/>
      <c r="G193" s="50"/>
      <c r="H193" s="50"/>
      <c r="I193" s="96"/>
      <c r="J193" s="97"/>
      <c r="K193" s="43"/>
      <c r="P193" s="89"/>
      <c r="Q193" s="298"/>
      <c r="R193" s="89"/>
      <c r="S193" s="89"/>
      <c r="T193" s="90">
        <f>VLOOKUP(T$191,ASSUMPTIONS!$B$101:$K$109,3,FALSE)</f>
        <v>4.1867999999999999</v>
      </c>
      <c r="U193" s="102" t="s">
        <v>428</v>
      </c>
      <c r="W193" s="90">
        <f>VLOOKUP(W$191,ASSUMPTIONS!$B$101:$K$109,2,FALSE)</f>
        <v>1</v>
      </c>
      <c r="X193" s="102" t="s">
        <v>427</v>
      </c>
      <c r="Y193" s="87"/>
      <c r="Z193" s="88"/>
      <c r="AA193" s="89"/>
      <c r="AB193" s="89"/>
      <c r="AC193" s="90">
        <f>VLOOKUP(AC$191,ASSUMPTIONS!$B$101:$K$109,3,FALSE)</f>
        <v>4.1867999999999999</v>
      </c>
      <c r="AD193" s="102" t="s">
        <v>428</v>
      </c>
      <c r="AF193" s="90">
        <f>VLOOKUP(AF$191,ASSUMPTIONS!$B$101:$K$109,2,FALSE)</f>
        <v>1</v>
      </c>
      <c r="AG193" s="102" t="s">
        <v>427</v>
      </c>
      <c r="AH193" s="87"/>
      <c r="AI193" s="88"/>
      <c r="AJ193" s="89"/>
      <c r="AK193" s="89"/>
      <c r="AL193" s="90" t="e">
        <f>VLOOKUP(AL$191,ASSUMPTIONS!$B$101:$K$109,3,FALSE)</f>
        <v>#N/A</v>
      </c>
      <c r="AM193" s="102" t="s">
        <v>428</v>
      </c>
      <c r="AO193" s="90" t="e">
        <f>VLOOKUP(AO$191,ASSUMPTIONS!$B$101:$K$109,2,FALSE)</f>
        <v>#N/A</v>
      </c>
      <c r="AP193" s="102" t="s">
        <v>427</v>
      </c>
      <c r="AQ193" s="87"/>
      <c r="AR193" s="92"/>
      <c r="AS193" s="80" t="s">
        <v>260</v>
      </c>
    </row>
    <row r="194" spans="1:45" ht="3" hidden="1" customHeight="1" x14ac:dyDescent="0.2">
      <c r="A194" s="62"/>
      <c r="B194" s="50"/>
      <c r="C194" s="50"/>
      <c r="D194" s="50"/>
      <c r="E194" s="50"/>
      <c r="F194" s="50"/>
      <c r="G194" s="50"/>
      <c r="H194" s="50"/>
      <c r="I194" s="96"/>
      <c r="J194" s="97"/>
      <c r="K194" s="43"/>
      <c r="P194" s="89"/>
      <c r="Q194" s="298"/>
      <c r="R194" s="89"/>
      <c r="S194" s="89"/>
      <c r="W194" s="58"/>
      <c r="Y194" s="87"/>
      <c r="Z194" s="88"/>
      <c r="AA194" s="89"/>
      <c r="AB194" s="89"/>
      <c r="AC194" s="58"/>
      <c r="AF194" s="58"/>
      <c r="AH194" s="87"/>
      <c r="AI194" s="88"/>
      <c r="AJ194" s="89"/>
      <c r="AK194" s="89"/>
      <c r="AL194" s="58"/>
      <c r="AO194" s="58"/>
      <c r="AQ194" s="87"/>
      <c r="AR194" s="92"/>
      <c r="AS194" s="81"/>
    </row>
    <row r="195" spans="1:45" ht="15" hidden="1" customHeight="1" x14ac:dyDescent="0.2">
      <c r="A195" s="62" t="s">
        <v>263</v>
      </c>
      <c r="B195" s="50"/>
      <c r="C195" s="262" t="s">
        <v>481</v>
      </c>
      <c r="D195" s="50"/>
      <c r="E195" s="50"/>
      <c r="F195" s="50"/>
      <c r="G195" s="50"/>
      <c r="H195" s="50"/>
      <c r="I195" s="96"/>
      <c r="J195" s="97"/>
      <c r="K195" s="43"/>
      <c r="P195" s="89"/>
      <c r="Q195" s="298"/>
      <c r="R195" s="89"/>
      <c r="S195" s="89"/>
      <c r="T195" s="90">
        <f>VLOOKUP(T$191,ASSUMPTIONS!$B$101:$K$109,4,FALSE)</f>
        <v>1</v>
      </c>
      <c r="U195" s="102" t="s">
        <v>256</v>
      </c>
      <c r="W195" s="90">
        <f>VLOOKUP(W$191,ASSUMPTIONS!$B$101:$K$109,4,FALSE)</f>
        <v>1</v>
      </c>
      <c r="X195" s="102" t="s">
        <v>256</v>
      </c>
      <c r="Y195" s="87"/>
      <c r="Z195" s="88"/>
      <c r="AA195" s="89"/>
      <c r="AB195" s="89"/>
      <c r="AC195" s="90">
        <f>VLOOKUP(AC$191,ASSUMPTIONS!$B$101:$K$109,4,FALSE)</f>
        <v>1</v>
      </c>
      <c r="AD195" s="102" t="s">
        <v>256</v>
      </c>
      <c r="AF195" s="90">
        <f>VLOOKUP(AF$191,ASSUMPTIONS!$B$101:$K$109,4,FALSE)</f>
        <v>1</v>
      </c>
      <c r="AG195" s="102" t="s">
        <v>256</v>
      </c>
      <c r="AH195" s="87"/>
      <c r="AI195" s="88"/>
      <c r="AJ195" s="89"/>
      <c r="AK195" s="89"/>
      <c r="AL195" s="90" t="e">
        <f>VLOOKUP(AL$191,ASSUMPTIONS!$B$101:$K$109,4,FALSE)</f>
        <v>#N/A</v>
      </c>
      <c r="AM195" s="102" t="s">
        <v>256</v>
      </c>
      <c r="AO195" s="90" t="e">
        <f>VLOOKUP(AO$191,ASSUMPTIONS!$B$101:$K$109,4,FALSE)</f>
        <v>#N/A</v>
      </c>
      <c r="AP195" s="102" t="s">
        <v>256</v>
      </c>
      <c r="AQ195" s="87"/>
      <c r="AR195" s="92"/>
      <c r="AS195" s="80" t="s">
        <v>260</v>
      </c>
    </row>
    <row r="196" spans="1:45" ht="3" hidden="1" customHeight="1" x14ac:dyDescent="0.2">
      <c r="A196" s="62"/>
      <c r="B196" s="50"/>
      <c r="C196" s="262"/>
      <c r="D196" s="50"/>
      <c r="E196" s="50"/>
      <c r="F196" s="50"/>
      <c r="G196" s="50"/>
      <c r="H196" s="50"/>
      <c r="I196" s="96"/>
      <c r="J196" s="97"/>
      <c r="K196" s="43"/>
      <c r="P196" s="89"/>
      <c r="Q196" s="298"/>
      <c r="R196" s="89"/>
      <c r="S196" s="89"/>
      <c r="W196" s="58"/>
      <c r="Y196" s="87"/>
      <c r="Z196" s="88"/>
      <c r="AA196" s="89"/>
      <c r="AB196" s="89"/>
      <c r="AC196" s="58"/>
      <c r="AF196" s="58"/>
      <c r="AH196" s="87"/>
      <c r="AI196" s="88"/>
      <c r="AJ196" s="89"/>
      <c r="AK196" s="89"/>
      <c r="AL196" s="58"/>
      <c r="AO196" s="58"/>
      <c r="AQ196" s="87"/>
      <c r="AR196" s="92"/>
      <c r="AS196" s="81"/>
    </row>
    <row r="197" spans="1:45" ht="15" hidden="1" customHeight="1" x14ac:dyDescent="0.2">
      <c r="A197" s="62" t="s">
        <v>263</v>
      </c>
      <c r="B197" s="50"/>
      <c r="C197" s="262" t="s">
        <v>482</v>
      </c>
      <c r="D197" s="50"/>
      <c r="E197" s="50"/>
      <c r="F197" s="50"/>
      <c r="G197" s="50"/>
      <c r="H197" s="50"/>
      <c r="I197" s="96"/>
      <c r="J197" s="97"/>
      <c r="K197" s="43"/>
      <c r="P197" s="89"/>
      <c r="Q197" s="298"/>
      <c r="R197" s="89"/>
      <c r="S197" s="89"/>
      <c r="T197" s="90">
        <f>VLOOKUP(T$191,ASSUMPTIONS!$B$101:$K$109,6,FALSE)</f>
        <v>1</v>
      </c>
      <c r="U197" s="102" t="s">
        <v>429</v>
      </c>
      <c r="W197" s="90">
        <f>VLOOKUP(W$191,ASSUMPTIONS!$B$101:$K$109,5,FALSE)</f>
        <v>8.3453905941999995</v>
      </c>
      <c r="X197" s="102" t="s">
        <v>412</v>
      </c>
      <c r="Y197" s="87"/>
      <c r="Z197" s="88"/>
      <c r="AA197" s="89"/>
      <c r="AB197" s="89"/>
      <c r="AC197" s="90">
        <f>VLOOKUP(AC$191,ASSUMPTIONS!$B$101:$K$109,6,FALSE)</f>
        <v>1</v>
      </c>
      <c r="AD197" s="102" t="s">
        <v>429</v>
      </c>
      <c r="AF197" s="90">
        <f>VLOOKUP(AF$191,ASSUMPTIONS!$B$101:$K$109,5,FALSE)</f>
        <v>8.3453905941999995</v>
      </c>
      <c r="AG197" s="102" t="s">
        <v>412</v>
      </c>
      <c r="AH197" s="87"/>
      <c r="AI197" s="88"/>
      <c r="AJ197" s="89"/>
      <c r="AK197" s="89"/>
      <c r="AL197" s="90" t="e">
        <f>VLOOKUP(AL$191,ASSUMPTIONS!$B$101:$K$109,6,FALSE)</f>
        <v>#N/A</v>
      </c>
      <c r="AM197" s="102" t="s">
        <v>429</v>
      </c>
      <c r="AO197" s="90" t="e">
        <f>VLOOKUP(AO$191,ASSUMPTIONS!$B$101:$K$109,5,FALSE)</f>
        <v>#N/A</v>
      </c>
      <c r="AP197" s="102" t="s">
        <v>412</v>
      </c>
      <c r="AQ197" s="87"/>
      <c r="AR197" s="92"/>
      <c r="AS197" s="80" t="s">
        <v>260</v>
      </c>
    </row>
    <row r="198" spans="1:45" ht="3" hidden="1" customHeight="1" x14ac:dyDescent="0.2">
      <c r="A198" s="62"/>
      <c r="B198" s="50"/>
      <c r="C198" s="262"/>
      <c r="D198" s="50"/>
      <c r="E198" s="50"/>
      <c r="F198" s="50"/>
      <c r="G198" s="50"/>
      <c r="H198" s="50"/>
      <c r="I198" s="96"/>
      <c r="J198" s="97"/>
      <c r="K198" s="43"/>
      <c r="P198" s="89"/>
      <c r="Q198" s="298"/>
      <c r="R198" s="89"/>
      <c r="S198" s="89"/>
      <c r="W198" s="58"/>
      <c r="Y198" s="87"/>
      <c r="Z198" s="88"/>
      <c r="AA198" s="89"/>
      <c r="AB198" s="89"/>
      <c r="AC198" s="58"/>
      <c r="AF198" s="58"/>
      <c r="AH198" s="87"/>
      <c r="AI198" s="88"/>
      <c r="AJ198" s="89"/>
      <c r="AK198" s="89"/>
      <c r="AL198" s="58"/>
      <c r="AO198" s="58"/>
      <c r="AQ198" s="87"/>
      <c r="AR198" s="92"/>
      <c r="AS198" s="81"/>
    </row>
    <row r="199" spans="1:45" ht="15" hidden="1" customHeight="1" x14ac:dyDescent="0.2">
      <c r="A199" s="62" t="s">
        <v>263</v>
      </c>
      <c r="B199" s="50"/>
      <c r="C199" s="262" t="s">
        <v>483</v>
      </c>
      <c r="D199" s="50"/>
      <c r="E199" s="50"/>
      <c r="F199" s="50"/>
      <c r="G199" s="50"/>
      <c r="H199" s="50"/>
      <c r="I199" s="96"/>
      <c r="J199" s="97"/>
      <c r="K199" s="43"/>
      <c r="P199" s="89"/>
      <c r="Q199" s="298"/>
      <c r="R199" s="89"/>
      <c r="S199" s="89"/>
      <c r="T199" s="90">
        <f>VLOOKUP(T$191,ASSUMPTIONS!$B$101:$K$109,8,FALSE)</f>
        <v>2257</v>
      </c>
      <c r="U199" s="102" t="s">
        <v>414</v>
      </c>
      <c r="W199" s="90">
        <f>VLOOKUP(W$191,ASSUMPTIONS!$B$101:$K$109,7,FALSE)</f>
        <v>970.33621100000005</v>
      </c>
      <c r="X199" s="102" t="s">
        <v>413</v>
      </c>
      <c r="Y199" s="87"/>
      <c r="Z199" s="88"/>
      <c r="AA199" s="89"/>
      <c r="AB199" s="89"/>
      <c r="AC199" s="90">
        <f>VLOOKUP(AC$191,ASSUMPTIONS!$B$101:$K$109,8,FALSE)</f>
        <v>2257</v>
      </c>
      <c r="AD199" s="102" t="s">
        <v>414</v>
      </c>
      <c r="AF199" s="90">
        <f>VLOOKUP(AF$191,ASSUMPTIONS!$B$101:$K$109,7,FALSE)</f>
        <v>970.33621100000005</v>
      </c>
      <c r="AG199" s="102" t="s">
        <v>413</v>
      </c>
      <c r="AH199" s="87"/>
      <c r="AI199" s="88"/>
      <c r="AJ199" s="89"/>
      <c r="AK199" s="89"/>
      <c r="AL199" s="90" t="e">
        <f>VLOOKUP(AL$191,ASSUMPTIONS!$B$101:$K$109,8,FALSE)</f>
        <v>#N/A</v>
      </c>
      <c r="AM199" s="102" t="s">
        <v>414</v>
      </c>
      <c r="AO199" s="90" t="e">
        <f>VLOOKUP(AO$191,ASSUMPTIONS!$B$101:$K$109,7,FALSE)</f>
        <v>#N/A</v>
      </c>
      <c r="AP199" s="102" t="s">
        <v>413</v>
      </c>
      <c r="AQ199" s="87"/>
      <c r="AR199" s="92"/>
      <c r="AS199" s="80" t="s">
        <v>260</v>
      </c>
    </row>
    <row r="200" spans="1:45" ht="3" hidden="1" customHeight="1" x14ac:dyDescent="0.2">
      <c r="A200" s="62"/>
      <c r="B200" s="50"/>
      <c r="C200" s="262"/>
      <c r="D200" s="50"/>
      <c r="E200" s="50"/>
      <c r="F200" s="50"/>
      <c r="G200" s="50"/>
      <c r="H200" s="50"/>
      <c r="I200" s="96"/>
      <c r="J200" s="97"/>
      <c r="K200" s="43"/>
      <c r="P200" s="89"/>
      <c r="Q200" s="298"/>
      <c r="R200" s="89"/>
      <c r="S200" s="89"/>
      <c r="W200" s="58"/>
      <c r="Y200" s="87"/>
      <c r="Z200" s="88"/>
      <c r="AA200" s="89"/>
      <c r="AB200" s="89"/>
      <c r="AC200" s="58"/>
      <c r="AF200" s="58"/>
      <c r="AH200" s="87"/>
      <c r="AI200" s="88"/>
      <c r="AJ200" s="89"/>
      <c r="AK200" s="89"/>
      <c r="AL200" s="58"/>
      <c r="AO200" s="58"/>
      <c r="AQ200" s="87"/>
      <c r="AR200" s="92"/>
      <c r="AS200" s="81"/>
    </row>
    <row r="201" spans="1:45" ht="15" hidden="1" customHeight="1" x14ac:dyDescent="0.2">
      <c r="A201" s="62" t="s">
        <v>263</v>
      </c>
      <c r="B201" s="50"/>
      <c r="C201" s="262" t="s">
        <v>484</v>
      </c>
      <c r="D201" s="50"/>
      <c r="E201" s="50"/>
      <c r="F201" s="50"/>
      <c r="G201" s="50"/>
      <c r="H201" s="50"/>
      <c r="I201" s="96"/>
      <c r="J201" s="97"/>
      <c r="K201" s="43"/>
      <c r="P201" s="89"/>
      <c r="Q201" s="298"/>
      <c r="R201" s="89"/>
      <c r="S201" s="89"/>
      <c r="T201" s="90">
        <f>VLOOKUP(T$191,ASSUMPTIONS!$B$101:$K$109,10,FALSE)</f>
        <v>100</v>
      </c>
      <c r="U201" s="102" t="s">
        <v>249</v>
      </c>
      <c r="W201" s="90">
        <f>VLOOKUP(W$191,ASSUMPTIONS!$B$101:$K$109,9,FALSE)</f>
        <v>212</v>
      </c>
      <c r="X201" s="102" t="s">
        <v>204</v>
      </c>
      <c r="Y201" s="87"/>
      <c r="Z201" s="88"/>
      <c r="AA201" s="89"/>
      <c r="AB201" s="89"/>
      <c r="AC201" s="90">
        <f>VLOOKUP(AC$191,ASSUMPTIONS!$B$101:$K$109,10,FALSE)</f>
        <v>100</v>
      </c>
      <c r="AD201" s="102" t="s">
        <v>249</v>
      </c>
      <c r="AF201" s="90">
        <f>VLOOKUP(AF$191,ASSUMPTIONS!$B$101:$K$109,9,FALSE)</f>
        <v>212</v>
      </c>
      <c r="AG201" s="102" t="s">
        <v>204</v>
      </c>
      <c r="AH201" s="87"/>
      <c r="AI201" s="88"/>
      <c r="AJ201" s="89"/>
      <c r="AK201" s="89"/>
      <c r="AL201" s="90" t="e">
        <f>VLOOKUP(AL$191,ASSUMPTIONS!$B$101:$K$109,10,FALSE)</f>
        <v>#N/A</v>
      </c>
      <c r="AM201" s="102" t="s">
        <v>249</v>
      </c>
      <c r="AO201" s="90" t="e">
        <f>VLOOKUP(AO$191,ASSUMPTIONS!$B$101:$K$109,9,FALSE)</f>
        <v>#N/A</v>
      </c>
      <c r="AP201" s="102" t="s">
        <v>204</v>
      </c>
      <c r="AQ201" s="87"/>
      <c r="AR201" s="92"/>
      <c r="AS201" s="80" t="s">
        <v>260</v>
      </c>
    </row>
    <row r="202" spans="1:45" ht="3" hidden="1" customHeight="1" x14ac:dyDescent="0.2">
      <c r="A202" s="62"/>
      <c r="B202" s="50"/>
      <c r="C202" s="50"/>
      <c r="D202" s="50"/>
      <c r="E202" s="50"/>
      <c r="F202" s="50"/>
      <c r="G202" s="50"/>
      <c r="H202" s="50"/>
      <c r="I202" s="96"/>
      <c r="J202" s="97"/>
      <c r="K202" s="43"/>
      <c r="P202" s="89"/>
      <c r="Q202" s="298"/>
      <c r="R202" s="89"/>
      <c r="S202" s="89"/>
      <c r="T202" s="43"/>
      <c r="Y202" s="87"/>
      <c r="Z202" s="88"/>
      <c r="AA202" s="89"/>
      <c r="AB202" s="89"/>
      <c r="AH202" s="87"/>
      <c r="AI202" s="88"/>
      <c r="AJ202" s="89"/>
      <c r="AK202" s="89"/>
      <c r="AQ202" s="87"/>
      <c r="AR202" s="92"/>
      <c r="AS202" s="81"/>
    </row>
    <row r="203" spans="1:45" x14ac:dyDescent="0.2">
      <c r="B203" s="50"/>
      <c r="C203" s="50" t="s">
        <v>230</v>
      </c>
      <c r="D203" s="50"/>
      <c r="E203" s="50"/>
      <c r="F203" s="50"/>
      <c r="G203" s="50"/>
      <c r="H203" s="50"/>
      <c r="I203" s="96">
        <f>IF(UnitsOfMeasure="Metric",21,70)</f>
        <v>70</v>
      </c>
      <c r="J203" s="97" t="str">
        <f>IF(UnitsOfMeasure="Metric","°C","°F")</f>
        <v>°F</v>
      </c>
      <c r="K203" s="125">
        <f>K205</f>
        <v>68</v>
      </c>
      <c r="L203" s="126"/>
      <c r="M203" s="125">
        <f>M205</f>
        <v>70</v>
      </c>
      <c r="N203" s="126"/>
      <c r="O203" s="125">
        <f>O205</f>
        <v>68</v>
      </c>
      <c r="P203" s="89"/>
      <c r="Q203" s="298"/>
      <c r="R203" s="84" t="str">
        <f>IF(OR(T$30=$B$10,T$30=$B$12,T$30=$B$13,T$30=$B$14,T$30=$B$15),"Required","Not Required")</f>
        <v>Not Required</v>
      </c>
      <c r="S203" s="89"/>
      <c r="T203" s="94">
        <f>IF(R203="Not Required",0,IF(UnitsOfMeasure="Metric",K203, (K203-32)*5/9))</f>
        <v>0</v>
      </c>
      <c r="U203" s="95" t="s">
        <v>249</v>
      </c>
      <c r="V203" s="50"/>
      <c r="W203" s="94">
        <f>IF(R203="Not Required",0,IF(UnitsOfMeasure="Metric",K203*9/5+32, K203))</f>
        <v>0</v>
      </c>
      <c r="X203" s="95" t="s">
        <v>204</v>
      </c>
      <c r="Y203" s="87"/>
      <c r="Z203" s="88"/>
      <c r="AA203" s="84" t="str">
        <f>IF(OR(AC$30=$B$10,AC$30=$B$12,AC$30=$B$13,AC$30=$B$14,AC$30=$B$15),"Required","Not Required")</f>
        <v>Required</v>
      </c>
      <c r="AB203" s="89"/>
      <c r="AC203" s="94">
        <f>IF(AA203="Not Required",0,IF(UnitsOfMeasure="Metric",M203, (M203-32)*5/9))</f>
        <v>21.111111111111111</v>
      </c>
      <c r="AD203" s="95" t="s">
        <v>249</v>
      </c>
      <c r="AE203" s="50"/>
      <c r="AF203" s="94">
        <f>IF(AA203="Not Required",0,IF(UnitsOfMeasure="Metric",M203*9/5+32, M203))</f>
        <v>70</v>
      </c>
      <c r="AG203" s="95" t="s">
        <v>204</v>
      </c>
      <c r="AH203" s="87"/>
      <c r="AI203" s="88"/>
      <c r="AJ203" s="84" t="str">
        <f>IF(OR(AL$30=$B$10,AL$30=$B$12,AL$30=$B$13,AL$30=$B$14,AL$30=$B$15),"Required","Not Required")</f>
        <v>Not Required</v>
      </c>
      <c r="AK203" s="89"/>
      <c r="AL203" s="94">
        <f>IF(AJ203="Not Required",0,IF(UnitsOfMeasure="Metric",O203, (O203-32)*5/9))</f>
        <v>0</v>
      </c>
      <c r="AM203" s="95" t="s">
        <v>249</v>
      </c>
      <c r="AN203" s="50"/>
      <c r="AO203" s="94">
        <f>IF(AJ203="Not Required",0,IF(UnitsOfMeasure="Metric",O203*9/5+32, O203))</f>
        <v>0</v>
      </c>
      <c r="AP203" s="95" t="s">
        <v>204</v>
      </c>
      <c r="AQ203" s="87"/>
      <c r="AR203" s="92"/>
      <c r="AS203" s="293" t="s">
        <v>762</v>
      </c>
    </row>
    <row r="204" spans="1:45" ht="3" customHeight="1" x14ac:dyDescent="0.2">
      <c r="B204" s="50"/>
      <c r="C204" s="50"/>
      <c r="D204" s="50"/>
      <c r="E204" s="50"/>
      <c r="F204" s="50"/>
      <c r="G204" s="50"/>
      <c r="H204" s="50"/>
      <c r="I204" s="266"/>
      <c r="J204" s="248"/>
      <c r="K204" s="43"/>
      <c r="P204" s="89"/>
      <c r="Q204" s="298"/>
      <c r="R204" s="89"/>
      <c r="S204" s="89"/>
      <c r="Y204" s="87"/>
      <c r="Z204" s="88"/>
      <c r="AA204" s="89"/>
      <c r="AB204" s="89"/>
      <c r="AC204" s="58"/>
      <c r="AH204" s="87"/>
      <c r="AI204" s="88"/>
      <c r="AJ204" s="89"/>
      <c r="AK204" s="89"/>
      <c r="AL204" s="58"/>
      <c r="AQ204" s="87"/>
      <c r="AR204" s="92"/>
      <c r="AS204" s="81"/>
    </row>
    <row r="205" spans="1:45" hidden="1" x14ac:dyDescent="0.2">
      <c r="A205" s="62" t="s">
        <v>263</v>
      </c>
      <c r="B205" s="50"/>
      <c r="C205" s="349" t="s">
        <v>230</v>
      </c>
      <c r="D205" s="346"/>
      <c r="E205" s="346"/>
      <c r="F205" s="346"/>
      <c r="G205" s="346"/>
      <c r="H205" s="346"/>
      <c r="I205" s="348">
        <f>IF(UnitsOfMeasure="Metric",21,70)</f>
        <v>70</v>
      </c>
      <c r="J205" s="347" t="str">
        <f>IF(UnitsOfMeasure="Metric","°C","°F")</f>
        <v>°F</v>
      </c>
      <c r="K205" s="355">
        <f>IF(UnitsOfMeasure="Metric",T205,W205)</f>
        <v>68</v>
      </c>
      <c r="L205" s="126"/>
      <c r="M205" s="355">
        <f>IF(UnitsOfMeasure="Metric",AC205,AF205)</f>
        <v>70</v>
      </c>
      <c r="N205" s="126"/>
      <c r="O205" s="355">
        <f>IF(UnitsOfMeasure="Metric",AL205,AO205)</f>
        <v>68</v>
      </c>
      <c r="P205" s="89"/>
      <c r="Q205" s="298"/>
      <c r="R205" s="84" t="str">
        <f>IF(OR(T$30=$B$10,T$30=$B$12,T$30=$B$13,T$30=$B$14,T$30=$B$15),"Required","Not Required")</f>
        <v>Not Required</v>
      </c>
      <c r="S205" s="89"/>
      <c r="T205" s="350">
        <f>IF(R205="Not Required",20,IF(OR(T$30=$B$10,T$30=$B$12),IF(UnitsOfMeasure="Metric",21,(70-32)*5/9),IF(OR(T$30=$B$13,T$30=$B$14,T$30=$B$15),IF(UnitsOfMeasure="Metric",65,(150-32)*5/9),"Error")))</f>
        <v>20</v>
      </c>
      <c r="U205" s="95" t="s">
        <v>249</v>
      </c>
      <c r="V205" s="50"/>
      <c r="W205" s="350">
        <f>IF(R205="Not Required",68,IF(OR(T$30=$B$10,T$30=$B$12),IF(UnitsOfMeasure="Imperial",70,(21*9/5+32)),IF(OR(T$30=$B$13,T$30=$B$14,T$30=$B$15),IF(UnitsOfMeasure="Imperial",150,(65*9/5+32)),"Error")))</f>
        <v>68</v>
      </c>
      <c r="X205" s="95" t="s">
        <v>204</v>
      </c>
      <c r="Y205" s="87"/>
      <c r="Z205" s="88"/>
      <c r="AA205" s="84" t="str">
        <f>IF(OR(AC$30=$B$10,AC$30=$B$12,AC$30=$B$13,AC$30=$B$14,AC$30=$B$15),"Required","Not Required")</f>
        <v>Required</v>
      </c>
      <c r="AB205" s="89"/>
      <c r="AC205" s="350">
        <f>IF(AA205="Not Required",20,IF(OR(AC$30=$B$10,AC$30=$B$12),IF(UnitsOfMeasure="Metric",21,(70-32)*5/9),IF(OR(AC$30=$B$13,AC$30=$B$14,AC$30=$B$15),IF(UnitsOfMeasure="Metric",65,(150-32)*5/9),"Error")))</f>
        <v>21.111111111111111</v>
      </c>
      <c r="AD205" s="95" t="s">
        <v>249</v>
      </c>
      <c r="AE205" s="50"/>
      <c r="AF205" s="350">
        <f>IF(AA205="Not Required",68,IF(OR(AC$30=$B$10,AC$30=$B$12),IF(UnitsOfMeasure="Imperial",70,(21*9/5+32)),IF(OR(AC$30=$B$13,AC$30=$B$14,AC$30=$B$15),IF(UnitsOfMeasure="Imperial",150,(65*9/5+32)),"Error")))</f>
        <v>70</v>
      </c>
      <c r="AG205" s="95" t="s">
        <v>204</v>
      </c>
      <c r="AH205" s="87"/>
      <c r="AI205" s="88"/>
      <c r="AJ205" s="84" t="str">
        <f>IF(OR(AL$30=$B$10,AL$30=$B$12,AL$30=$B$13,AL$30=$B$14,AL$30=$B$15),"Required","Not Required")</f>
        <v>Not Required</v>
      </c>
      <c r="AK205" s="89"/>
      <c r="AL205" s="350">
        <f>IF(AJ205="Not Required",20,IF(OR(AL$30=$B$10,AL$30=$B$12),IF(UnitsOfMeasure="Metric",21,(70-32)*5/9),IF(OR(AL$30=$B$13,AL$30=$B$14,AL$30=$B$15),IF(UnitsOfMeasure="Metric",65,(150-32)*5/9),"Error")))</f>
        <v>20</v>
      </c>
      <c r="AM205" s="95" t="s">
        <v>249</v>
      </c>
      <c r="AN205" s="50"/>
      <c r="AO205" s="350">
        <f>IF(AJ205="Not Required",68,IF(OR(AL$30=$B$10,AL$30=$B$12),IF(UnitsOfMeasure="Imperial",70,(21*9/5+32)),IF(OR(AL$30=$B$13,AL$30=$B$14,AL$30=$B$15),IF(UnitsOfMeasure="Imperial",150,(65*9/5+32)),"Error")))</f>
        <v>68</v>
      </c>
      <c r="AP205" s="95" t="s">
        <v>204</v>
      </c>
      <c r="AQ205" s="87"/>
      <c r="AR205" s="92"/>
      <c r="AS205" s="293" t="s">
        <v>746</v>
      </c>
    </row>
    <row r="206" spans="1:45" ht="3" hidden="1" customHeight="1" x14ac:dyDescent="0.2">
      <c r="A206" s="62"/>
      <c r="B206" s="50"/>
      <c r="C206" s="50"/>
      <c r="D206" s="50"/>
      <c r="E206" s="50"/>
      <c r="F206" s="50"/>
      <c r="G206" s="50"/>
      <c r="H206" s="50"/>
      <c r="I206" s="96"/>
      <c r="J206" s="97"/>
      <c r="K206" s="43"/>
      <c r="P206" s="89"/>
      <c r="Q206" s="298"/>
      <c r="R206" s="89"/>
      <c r="S206" s="89"/>
      <c r="T206" s="43"/>
      <c r="Y206" s="87"/>
      <c r="Z206" s="88"/>
      <c r="AA206" s="89"/>
      <c r="AB206" s="89"/>
      <c r="AH206" s="87"/>
      <c r="AI206" s="88"/>
      <c r="AJ206" s="89"/>
      <c r="AK206" s="89"/>
      <c r="AQ206" s="87"/>
      <c r="AR206" s="92"/>
      <c r="AS206" s="81"/>
    </row>
    <row r="207" spans="1:45" x14ac:dyDescent="0.2">
      <c r="B207" s="50"/>
      <c r="C207" s="50" t="s">
        <v>231</v>
      </c>
      <c r="D207" s="50"/>
      <c r="E207" s="50"/>
      <c r="F207" s="50"/>
      <c r="G207" s="50"/>
      <c r="H207" s="50"/>
      <c r="I207" s="96" t="s">
        <v>261</v>
      </c>
      <c r="J207" s="97" t="str">
        <f>IF(UnitsOfMeasure="Metric","°C","°F")</f>
        <v>°F</v>
      </c>
      <c r="K207" s="342">
        <f>IF(UnitsOfMeasure="Metric",T207,W207)</f>
        <v>68</v>
      </c>
      <c r="L207" s="267"/>
      <c r="M207" s="342">
        <f>IF(UnitsOfMeasure="Metric",AC207,AF207)</f>
        <v>71.295998130116914</v>
      </c>
      <c r="N207" s="267"/>
      <c r="O207" s="342">
        <f>IF(UnitsOfMeasure="Metric",AL207,AO207)</f>
        <v>0</v>
      </c>
      <c r="P207" s="89"/>
      <c r="Q207" s="298"/>
      <c r="R207" s="84" t="str">
        <f>IF(OR(T$30=$B$10,T$30=$B$11,T$30=$B$12),"Required","Not Required")</f>
        <v>Required</v>
      </c>
      <c r="S207" s="89"/>
      <c r="T207" s="94">
        <f>IF(R207="Not Required",0,IF(AND(T59="Yes",T217&gt;T209),T217,IF(T209&lt;20,20,IF(T209&gt;T97,T97,T209))))</f>
        <v>20</v>
      </c>
      <c r="U207" s="95" t="s">
        <v>249</v>
      </c>
      <c r="V207" s="50"/>
      <c r="W207" s="94">
        <f>IF(R207="Not Required",0,IF(AND(W59="Yes",W217&gt;W209),W217,IF(W209&lt;68,68,IF(W209&gt;W97,W97,W209))))</f>
        <v>68</v>
      </c>
      <c r="X207" s="95" t="s">
        <v>204</v>
      </c>
      <c r="Y207" s="87"/>
      <c r="Z207" s="88"/>
      <c r="AA207" s="84" t="str">
        <f>IF(OR(AC$30=$B$10,AC$30=$B$11,AC$30=$B$12),"Required","Not Required")</f>
        <v>Required</v>
      </c>
      <c r="AB207" s="89"/>
      <c r="AC207" s="94">
        <f>IF(AA207="Not Required",0,IF(AND(AC59="Yes",AC217&gt;AC209),AC217,IF(AC209&lt;20,20,IF(AC209&gt;AC97,AC97,AC209))))</f>
        <v>21.832349871286542</v>
      </c>
      <c r="AD207" s="95" t="s">
        <v>249</v>
      </c>
      <c r="AE207" s="50"/>
      <c r="AF207" s="94">
        <f>IF(AA207="Not Required",0,IF(AND(AF59="Yes",AF217&gt;AF209),AF217,IF(AF209&lt;68,68,IF(AF209&gt;AF97,AF97,AF209))))</f>
        <v>71.295998130116914</v>
      </c>
      <c r="AG207" s="95" t="s">
        <v>204</v>
      </c>
      <c r="AH207" s="87"/>
      <c r="AI207" s="88"/>
      <c r="AJ207" s="84" t="str">
        <f>IF(OR(AL$30=$B$10,AL$30=$B$11,AL$30=$B$12),"Required","Not Required")</f>
        <v>Not Required</v>
      </c>
      <c r="AK207" s="89"/>
      <c r="AL207" s="94">
        <f>IF(AJ207="Not Required",0,IF(AND(AL59="Yes",AL217&gt;AL209),AL217,IF(AL209&lt;20,20,IF(AL209&gt;AL97,AL97,AL209))))</f>
        <v>0</v>
      </c>
      <c r="AM207" s="95" t="s">
        <v>249</v>
      </c>
      <c r="AN207" s="50"/>
      <c r="AO207" s="94">
        <f>IF(AJ207="Not Required",0,IF(AND(AO59="Yes",AO217&gt;AO209),AO217,IF(AO209&lt;68,68,IF(AO209&gt;AO97,AO97,AO209))))</f>
        <v>0</v>
      </c>
      <c r="AP207" s="95" t="s">
        <v>204</v>
      </c>
      <c r="AQ207" s="87"/>
      <c r="AR207" s="92"/>
      <c r="AS207" s="80" t="s">
        <v>260</v>
      </c>
    </row>
    <row r="208" spans="1:45" ht="3" customHeight="1" x14ac:dyDescent="0.2">
      <c r="B208" s="50"/>
      <c r="C208" s="50"/>
      <c r="D208" s="50"/>
      <c r="E208" s="50"/>
      <c r="F208" s="50"/>
      <c r="G208" s="50"/>
      <c r="H208" s="50"/>
      <c r="I208" s="96"/>
      <c r="J208" s="97"/>
      <c r="K208" s="43"/>
      <c r="P208" s="89"/>
      <c r="Q208" s="298"/>
      <c r="R208" s="89"/>
      <c r="S208" s="89"/>
      <c r="T208" s="108"/>
      <c r="U208" s="89"/>
      <c r="V208" s="50"/>
      <c r="W208" s="108"/>
      <c r="X208" s="89"/>
      <c r="Y208" s="87"/>
      <c r="Z208" s="88"/>
      <c r="AA208" s="89"/>
      <c r="AB208" s="89"/>
      <c r="AC208" s="108"/>
      <c r="AD208" s="89"/>
      <c r="AE208" s="50"/>
      <c r="AF208" s="108"/>
      <c r="AG208" s="89"/>
      <c r="AH208" s="87"/>
      <c r="AI208" s="88"/>
      <c r="AJ208" s="89"/>
      <c r="AK208" s="89"/>
      <c r="AL208" s="108"/>
      <c r="AM208" s="89"/>
      <c r="AN208" s="50"/>
      <c r="AO208" s="108"/>
      <c r="AP208" s="89"/>
      <c r="AQ208" s="87"/>
      <c r="AR208" s="92"/>
      <c r="AS208" s="81"/>
    </row>
    <row r="209" spans="1:45" hidden="1" x14ac:dyDescent="0.2">
      <c r="A209" s="62" t="s">
        <v>263</v>
      </c>
      <c r="B209" s="50"/>
      <c r="C209" s="50" t="s">
        <v>262</v>
      </c>
      <c r="D209" s="50"/>
      <c r="E209" s="50"/>
      <c r="F209" s="50"/>
      <c r="G209" s="50"/>
      <c r="H209" s="50"/>
      <c r="I209" s="96" t="s">
        <v>261</v>
      </c>
      <c r="J209" s="97" t="str">
        <f>IF(UnitsOfMeasure="Metric","°C","°F")</f>
        <v>°F</v>
      </c>
      <c r="K209" s="354">
        <f>IF(UnitsOfMeasure="Metric",T209,W209)</f>
        <v>-389.69506989825442</v>
      </c>
      <c r="L209" s="267"/>
      <c r="M209" s="354">
        <f>IF(UnitsOfMeasure="Metric",AC209,AF209)</f>
        <v>71.295998130116914</v>
      </c>
      <c r="N209" s="267"/>
      <c r="O209" s="354">
        <f>IF(UnitsOfMeasure="Metric",AL209,AO209)</f>
        <v>0</v>
      </c>
      <c r="P209" s="89"/>
      <c r="Q209" s="298"/>
      <c r="R209" s="84" t="str">
        <f>IF(OR(T$30=$B$10,T$30=$B$11,T$30=$B$12),"Required","Not Required")</f>
        <v>Required</v>
      </c>
      <c r="S209" s="89"/>
      <c r="T209" s="94">
        <f>IF(R209="Not Required",0,IF(T30=$B$11,T97-T319/($AD$18*T93),IF(OR(T30=$B$10,T30=$B$12),T203+($AD$18*T93*(T97-T203)+T317)/(T189*T193*T197/60))))</f>
        <v>-233.43288067800876</v>
      </c>
      <c r="U209" s="95" t="s">
        <v>249</v>
      </c>
      <c r="V209" s="50"/>
      <c r="W209" s="94">
        <f>IF(R209="Not Required",0,IF(T30=$B$11,W97-(W319*$U$22)/($AD$19*W93),IF(OR(T30=$B$10,T30=$B$12),W203+($AD$19*W93*(W97-W203)+(W317*$U$22))/(W189*W193*W197*60))))</f>
        <v>-389.69506989825442</v>
      </c>
      <c r="X209" s="95" t="s">
        <v>204</v>
      </c>
      <c r="Y209" s="87"/>
      <c r="Z209" s="88"/>
      <c r="AA209" s="84" t="str">
        <f>IF(OR(AC$30=$B$10,AC$30=$B$11,AC$30=$B$12),"Required","Not Required")</f>
        <v>Required</v>
      </c>
      <c r="AB209" s="89"/>
      <c r="AC209" s="94">
        <f>IF(AA209="Not Required",0,IF(AC30=$B$11,AC97-AC319/($AD$18*AC93),IF(OR(AC30=$B$10,AC30=$B$12),AC203+($AD$18*AC93*(AC97-AC203)+AC317)/(AC189*AC193*AC197/60))))</f>
        <v>21.832349871286542</v>
      </c>
      <c r="AD209" s="95" t="s">
        <v>249</v>
      </c>
      <c r="AE209" s="50"/>
      <c r="AF209" s="94">
        <f>IF(AA209="Not Required",0,IF(AC30=$B$11,AF97-(AF319*$U$22)/($AD$19*AF93),IF(OR(AC30=$B$10,AC30=$B$12),AF203+($AD$19*AF93*(AF97-AF203)+(AF317*$U$22))/(AF189*AF193*AF197*60))))</f>
        <v>71.295998130116914</v>
      </c>
      <c r="AG209" s="95" t="s">
        <v>204</v>
      </c>
      <c r="AH209" s="87"/>
      <c r="AI209" s="88"/>
      <c r="AJ209" s="84" t="str">
        <f>IF(OR(AL$30=$B$10,AL$30=$B$11,AL$30=$B$12),"Required","Not Required")</f>
        <v>Not Required</v>
      </c>
      <c r="AK209" s="89"/>
      <c r="AL209" s="94">
        <f>IF(AJ209="Not Required",0,IF(AL30=$B$11,AL97-AL319/($AD$18*AL93),IF(OR(AL30=$B$10,AL30=$B$12),AL203+($AD$18*AL93*(AL97-AL203)+AL317)/(AL189*AL193*AL197/60))))</f>
        <v>0</v>
      </c>
      <c r="AM209" s="95" t="s">
        <v>249</v>
      </c>
      <c r="AN209" s="50"/>
      <c r="AO209" s="94">
        <f>IF(AJ209="Not Required",0,IF(AL30=$B$11,AO97-(AO319*$U$22)/($AD$19*AO93),IF(OR(AL30=$B$10,AL30=$B$12),AO203+($AD$19*AO93*(AO97-AO203)+(AO317*$U$22))/(AO189*AO193*AO197*60))))</f>
        <v>0</v>
      </c>
      <c r="AP209" s="95" t="s">
        <v>204</v>
      </c>
      <c r="AQ209" s="87"/>
      <c r="AR209" s="92"/>
      <c r="AS209" s="80" t="s">
        <v>260</v>
      </c>
    </row>
    <row r="210" spans="1:45" ht="3.75" hidden="1" customHeight="1" x14ac:dyDescent="0.2">
      <c r="A210" s="62"/>
      <c r="B210" s="50"/>
      <c r="C210" s="50"/>
      <c r="D210" s="50"/>
      <c r="E210" s="50"/>
      <c r="F210" s="50"/>
      <c r="G210" s="50"/>
      <c r="H210" s="50"/>
      <c r="I210" s="96"/>
      <c r="J210" s="97"/>
      <c r="K210" s="43"/>
      <c r="P210" s="89"/>
      <c r="Q210" s="298"/>
      <c r="R210" s="89"/>
      <c r="S210" s="89"/>
      <c r="Y210" s="87"/>
      <c r="Z210" s="88"/>
      <c r="AA210" s="89"/>
      <c r="AB210" s="89"/>
      <c r="AC210" s="58"/>
      <c r="AH210" s="87"/>
      <c r="AI210" s="88"/>
      <c r="AJ210" s="89"/>
      <c r="AK210" s="89"/>
      <c r="AL210" s="58"/>
      <c r="AQ210" s="87"/>
      <c r="AR210" s="92"/>
      <c r="AS210" s="81"/>
    </row>
    <row r="211" spans="1:45" x14ac:dyDescent="0.2">
      <c r="B211" s="50"/>
      <c r="C211" s="50" t="s">
        <v>232</v>
      </c>
      <c r="D211" s="50"/>
      <c r="E211" s="50"/>
      <c r="F211" s="50"/>
      <c r="G211" s="50"/>
      <c r="H211" s="50"/>
      <c r="I211" s="96">
        <f>IF(UnitsOfMeasure="Metric",0.2,0.05)</f>
        <v>0.05</v>
      </c>
      <c r="J211" s="97" t="str">
        <f>IF(UnitsOfMeasure="Metric","l / min","GPM")</f>
        <v>GPM</v>
      </c>
      <c r="K211" s="125">
        <f>I211</f>
        <v>0.05</v>
      </c>
      <c r="L211" s="126"/>
      <c r="M211" s="125">
        <f>K211</f>
        <v>0.05</v>
      </c>
      <c r="N211" s="126"/>
      <c r="O211" s="125">
        <f>K211</f>
        <v>0.05</v>
      </c>
      <c r="P211" s="89"/>
      <c r="Q211" s="298"/>
      <c r="R211" s="84" t="str">
        <f>IF(OR(T$30=$B$7,T$30=$B$9),"Required","Not Required")</f>
        <v>Not Required</v>
      </c>
      <c r="S211" s="89"/>
      <c r="T211" s="90">
        <f>IF(R211="Not Required",0,IF(UnitsOfMeasure="Metric",K211,K211*$U$13))</f>
        <v>0</v>
      </c>
      <c r="U211" s="91" t="s">
        <v>257</v>
      </c>
      <c r="V211" s="50"/>
      <c r="W211" s="90">
        <f>IF(R211="Not Required",0,IF(UnitsOfMeasure="Imperial",K211,K211/$U$13))</f>
        <v>0</v>
      </c>
      <c r="X211" s="91" t="s">
        <v>177</v>
      </c>
      <c r="Y211" s="87"/>
      <c r="Z211" s="88"/>
      <c r="AA211" s="84" t="str">
        <f>IF(OR(AC$30=$B$7,AC$30=$B$9),"Required","Not Required")</f>
        <v>Not Required</v>
      </c>
      <c r="AB211" s="89"/>
      <c r="AC211" s="90">
        <f>IF(AA211="Not Required",0,IF(UnitsOfMeasure="Metric",M211,M211*$U$13))</f>
        <v>0</v>
      </c>
      <c r="AD211" s="91" t="s">
        <v>257</v>
      </c>
      <c r="AE211" s="50"/>
      <c r="AF211" s="90">
        <f>IF(AA211="Not Required",0,IF(UnitsOfMeasure="Imperial",M211,M211/$U$13))</f>
        <v>0</v>
      </c>
      <c r="AG211" s="91" t="s">
        <v>177</v>
      </c>
      <c r="AH211" s="87"/>
      <c r="AI211" s="88"/>
      <c r="AJ211" s="84" t="str">
        <f>IF(OR(AL$30=$B$7,AL$30=$B$9),"Required","Not Required")</f>
        <v>Not Required</v>
      </c>
      <c r="AK211" s="89"/>
      <c r="AL211" s="90">
        <f>IF(AJ211="Not Required",0,IF(UnitsOfMeasure="Metric",O211,O211*$U$13))</f>
        <v>0</v>
      </c>
      <c r="AM211" s="91" t="s">
        <v>257</v>
      </c>
      <c r="AN211" s="50"/>
      <c r="AO211" s="90">
        <f>IF(AJ211="Not Required",0,IF(UnitsOfMeasure="Imperial",O211,O211/$U$13))</f>
        <v>0</v>
      </c>
      <c r="AP211" s="91" t="s">
        <v>177</v>
      </c>
      <c r="AQ211" s="87"/>
      <c r="AR211" s="92"/>
      <c r="AS211" s="80" t="s">
        <v>264</v>
      </c>
    </row>
    <row r="212" spans="1:45" ht="3.75" customHeight="1" x14ac:dyDescent="0.2">
      <c r="B212" s="50"/>
      <c r="C212" s="50"/>
      <c r="D212" s="50"/>
      <c r="E212" s="50"/>
      <c r="F212" s="50"/>
      <c r="G212" s="50"/>
      <c r="H212" s="50"/>
      <c r="I212" s="96"/>
      <c r="J212" s="97"/>
      <c r="K212" s="43"/>
      <c r="P212" s="89"/>
      <c r="Q212" s="298"/>
      <c r="R212" s="89"/>
      <c r="S212" s="89"/>
      <c r="Y212" s="87"/>
      <c r="Z212" s="88"/>
      <c r="AA212" s="89"/>
      <c r="AB212" s="89"/>
      <c r="AC212" s="58"/>
      <c r="AH212" s="87"/>
      <c r="AI212" s="88"/>
      <c r="AJ212" s="89"/>
      <c r="AK212" s="89"/>
      <c r="AL212" s="58"/>
      <c r="AQ212" s="87"/>
      <c r="AR212" s="92"/>
      <c r="AS212" s="81"/>
    </row>
    <row r="213" spans="1:45" x14ac:dyDescent="0.2">
      <c r="B213" s="50"/>
      <c r="C213" s="50" t="s">
        <v>233</v>
      </c>
      <c r="D213" s="50"/>
      <c r="E213" s="50"/>
      <c r="F213" s="50"/>
      <c r="G213" s="50"/>
      <c r="H213" s="50"/>
      <c r="I213" s="96">
        <f>IF(UnitsOfMeasure="Metric",7.6,2)</f>
        <v>2</v>
      </c>
      <c r="J213" s="97" t="str">
        <f>IF(UnitsOfMeasure="Metric","l / min","GPM")</f>
        <v>GPM</v>
      </c>
      <c r="K213" s="125">
        <f>I213</f>
        <v>2</v>
      </c>
      <c r="L213" s="126"/>
      <c r="M213" s="125">
        <f>K213</f>
        <v>2</v>
      </c>
      <c r="N213" s="126"/>
      <c r="O213" s="125">
        <f>K213</f>
        <v>2</v>
      </c>
      <c r="P213" s="89"/>
      <c r="Q213" s="298"/>
      <c r="R213" s="84" t="str">
        <f>IF(AND(T$59="Yes",OR(T$30=$B$10,T$30=$B$11,T$30=$B$13,T$30=$B$14,T$30=$B$15)),"Required","Not Required")</f>
        <v>Not Required</v>
      </c>
      <c r="S213" s="89"/>
      <c r="T213" s="90">
        <f>IF(R213="Not Required",0,IF(UnitsOfMeasure="Metric",K213,K213*$U$13))</f>
        <v>0</v>
      </c>
      <c r="U213" s="91" t="s">
        <v>257</v>
      </c>
      <c r="V213" s="50"/>
      <c r="W213" s="90">
        <f>IF(R213="Not Required",0,IF(UnitsOfMeasure="Imperial",K213,K213/$U$13))</f>
        <v>0</v>
      </c>
      <c r="X213" s="91" t="s">
        <v>177</v>
      </c>
      <c r="Y213" s="87"/>
      <c r="Z213" s="88"/>
      <c r="AA213" s="84" t="str">
        <f>IF(AND(AC$59="Yes",OR(AC$30=$B$10,AC$30=$B$11,AC$30=$B$13,AC$30=$B$14,AC$30=$B$15)),"Required","Not Required")</f>
        <v>Not Required</v>
      </c>
      <c r="AB213" s="89"/>
      <c r="AC213" s="90">
        <f>IF(AA213="Not Required",0,IF(UnitsOfMeasure="Metric",M213,M213*$U$13))</f>
        <v>0</v>
      </c>
      <c r="AD213" s="91" t="s">
        <v>257</v>
      </c>
      <c r="AE213" s="50"/>
      <c r="AF213" s="90">
        <f>IF(AA213="Not Required",0,IF(UnitsOfMeasure="Imperial",M213,M213/$U$13))</f>
        <v>0</v>
      </c>
      <c r="AG213" s="91" t="s">
        <v>177</v>
      </c>
      <c r="AH213" s="87"/>
      <c r="AI213" s="88"/>
      <c r="AJ213" s="84" t="str">
        <f>IF(AND(AL$59="Yes",OR(AL$30=$B$10,AL$30=$B$11,AL$30=$B$13,AL$30=$B$14,AL$30=$B$15)),"Required","Not Required")</f>
        <v>Not Required</v>
      </c>
      <c r="AK213" s="89"/>
      <c r="AL213" s="90">
        <f>IF(AJ213="Not Required",0,IF(UnitsOfMeasure="Metric",O213,O213*$U$13))</f>
        <v>0</v>
      </c>
      <c r="AM213" s="91" t="s">
        <v>257</v>
      </c>
      <c r="AN213" s="50"/>
      <c r="AO213" s="90">
        <f>IF(AJ213="Not Required",0,IF(UnitsOfMeasure="Imperial",O213,O213/$U$13))</f>
        <v>0</v>
      </c>
      <c r="AP213" s="91" t="s">
        <v>177</v>
      </c>
      <c r="AQ213" s="87"/>
      <c r="AR213" s="92"/>
      <c r="AS213" s="80" t="s">
        <v>265</v>
      </c>
    </row>
    <row r="214" spans="1:45" ht="3.75" customHeight="1" x14ac:dyDescent="0.2">
      <c r="B214" s="50"/>
      <c r="C214" s="50"/>
      <c r="D214" s="50"/>
      <c r="E214" s="50"/>
      <c r="F214" s="50"/>
      <c r="G214" s="50"/>
      <c r="H214" s="50"/>
      <c r="I214" s="96"/>
      <c r="J214" s="97"/>
      <c r="K214" s="43"/>
      <c r="P214" s="89"/>
      <c r="Q214" s="298"/>
      <c r="R214" s="89"/>
      <c r="S214" s="89"/>
      <c r="Y214" s="87"/>
      <c r="Z214" s="88"/>
      <c r="AA214" s="89"/>
      <c r="AB214" s="89"/>
      <c r="AC214" s="58"/>
      <c r="AH214" s="87"/>
      <c r="AI214" s="88"/>
      <c r="AJ214" s="89"/>
      <c r="AK214" s="89"/>
      <c r="AL214" s="58"/>
      <c r="AQ214" s="87"/>
      <c r="AR214" s="92"/>
      <c r="AS214" s="81"/>
    </row>
    <row r="215" spans="1:45" ht="14.25" hidden="1" customHeight="1" x14ac:dyDescent="0.2">
      <c r="A215" s="62" t="s">
        <v>263</v>
      </c>
      <c r="B215" s="50"/>
      <c r="C215" s="262" t="s">
        <v>487</v>
      </c>
      <c r="D215" s="50"/>
      <c r="E215" s="50"/>
      <c r="F215" s="50"/>
      <c r="G215" s="50"/>
      <c r="H215" s="50"/>
      <c r="I215" s="96"/>
      <c r="J215" s="97"/>
      <c r="K215" s="43"/>
      <c r="P215" s="89"/>
      <c r="Q215" s="298"/>
      <c r="R215" s="84" t="str">
        <f>IF(T$30=$B$11,"Required","Not Required")</f>
        <v>Required</v>
      </c>
      <c r="S215" s="89"/>
      <c r="T215" s="90">
        <f>IF(R215="Not Required",T97,(T97+273.15)*(1-$AD$17)-273.15)</f>
        <v>30.937366666666662</v>
      </c>
      <c r="U215" s="91" t="s">
        <v>249</v>
      </c>
      <c r="V215" s="50"/>
      <c r="W215" s="90">
        <f>IF(R215="Not Required",W97,(W97+459.67)*(1-$AD$17)-459.67)</f>
        <v>87.687260000000094</v>
      </c>
      <c r="X215" s="91" t="s">
        <v>204</v>
      </c>
      <c r="Y215" s="87"/>
      <c r="Z215" s="88"/>
      <c r="AA215" s="84" t="str">
        <f>IF(AC$30=$B$11,"Required","Not Required")</f>
        <v>Not Required</v>
      </c>
      <c r="AB215" s="89"/>
      <c r="AC215" s="90">
        <f>IF(AA215="Not Required",AC97,(AC97+273.15)*(1-$AD$17)-273.15)</f>
        <v>37.777777777777779</v>
      </c>
      <c r="AD215" s="91" t="s">
        <v>249</v>
      </c>
      <c r="AE215" s="50"/>
      <c r="AF215" s="90">
        <f>IF(AA215="Not Required",AF97,(AF97+459.67)*(1-$AD$17)-459.67)</f>
        <v>100</v>
      </c>
      <c r="AG215" s="91" t="s">
        <v>204</v>
      </c>
      <c r="AH215" s="87"/>
      <c r="AI215" s="88"/>
      <c r="AJ215" s="84" t="str">
        <f>IF(AL$30=$B$11,"Required","Not Required")</f>
        <v>Not Required</v>
      </c>
      <c r="AK215" s="89"/>
      <c r="AL215" s="90">
        <f>IF(AJ215="Not Required",AL97,(AL97+273.15)*(1-$AD$17)-273.15)</f>
        <v>0</v>
      </c>
      <c r="AM215" s="91" t="s">
        <v>249</v>
      </c>
      <c r="AN215" s="50"/>
      <c r="AO215" s="90">
        <f>IF(AJ215="Not Required",AO97,(AO97+459.67)*(1-$AD$17)-459.67)</f>
        <v>0</v>
      </c>
      <c r="AP215" s="91" t="s">
        <v>204</v>
      </c>
      <c r="AQ215" s="87"/>
      <c r="AR215" s="92"/>
      <c r="AS215" s="80" t="s">
        <v>486</v>
      </c>
    </row>
    <row r="216" spans="1:45" ht="3" hidden="1" customHeight="1" x14ac:dyDescent="0.2">
      <c r="A216" s="62"/>
      <c r="B216" s="50"/>
      <c r="C216" s="50"/>
      <c r="D216" s="50"/>
      <c r="E216" s="50"/>
      <c r="F216" s="50"/>
      <c r="G216" s="50"/>
      <c r="H216" s="50"/>
      <c r="I216" s="96"/>
      <c r="J216" s="97"/>
      <c r="K216" s="43"/>
      <c r="P216" s="89"/>
      <c r="Q216" s="298"/>
      <c r="R216" s="89"/>
      <c r="S216" s="89"/>
      <c r="Y216" s="87"/>
      <c r="Z216" s="88"/>
      <c r="AA216" s="89"/>
      <c r="AB216" s="89"/>
      <c r="AC216" s="58"/>
      <c r="AH216" s="87"/>
      <c r="AI216" s="88"/>
      <c r="AJ216" s="89"/>
      <c r="AK216" s="89"/>
      <c r="AL216" s="58"/>
      <c r="AQ216" s="87"/>
      <c r="AR216" s="92"/>
      <c r="AS216" s="81"/>
    </row>
    <row r="217" spans="1:45" x14ac:dyDescent="0.2">
      <c r="B217" s="50"/>
      <c r="C217" s="50" t="s">
        <v>234</v>
      </c>
      <c r="D217" s="50"/>
      <c r="E217" s="50"/>
      <c r="F217" s="50"/>
      <c r="G217" s="50"/>
      <c r="H217" s="50"/>
      <c r="I217" s="96">
        <f>IF(UnitsOfMeasure="Metric",10,50)</f>
        <v>50</v>
      </c>
      <c r="J217" s="97" t="str">
        <f>IF(UnitsOfMeasure="Metric","°C","°F")</f>
        <v>°F</v>
      </c>
      <c r="K217" s="125">
        <f>I217</f>
        <v>50</v>
      </c>
      <c r="L217" s="126"/>
      <c r="M217" s="125">
        <f>K217</f>
        <v>50</v>
      </c>
      <c r="N217" s="126"/>
      <c r="O217" s="125">
        <f>K217</f>
        <v>50</v>
      </c>
      <c r="P217" s="89"/>
      <c r="Q217" s="298"/>
      <c r="R217" s="84" t="str">
        <f>IF(OR(T$30=$B$10,T$30=$B$11,T$30=$B$13,T$30=$B$14,T$30=$B$15),"Required","Not Required")</f>
        <v>Required</v>
      </c>
      <c r="S217" s="89"/>
      <c r="T217" s="90">
        <f>IF(R217="Not Required",0,IF(UnitsOfMeasure="Metric",K217,(K217-32)*5/9))</f>
        <v>10</v>
      </c>
      <c r="U217" s="91" t="s">
        <v>249</v>
      </c>
      <c r="V217" s="50"/>
      <c r="W217" s="90">
        <f>IF(R217="Not Required",0,IF(UnitsOfMeasure="Imperial",K217,(K217*9/5+32)))</f>
        <v>50</v>
      </c>
      <c r="X217" s="91" t="s">
        <v>204</v>
      </c>
      <c r="Y217" s="87"/>
      <c r="Z217" s="88"/>
      <c r="AA217" s="84" t="str">
        <f>IF(OR(AC$30=$B$10,AC$30=$B$11,AC$30=$B$13,AC$30=$B$14,AC$30=$B$15),"Required","Not Required")</f>
        <v>Not Required</v>
      </c>
      <c r="AB217" s="89"/>
      <c r="AC217" s="90">
        <f>IF(AA217="Not Required",0,IF(UnitsOfMeasure="Metric",M217,(M217-32)*5/9))</f>
        <v>0</v>
      </c>
      <c r="AD217" s="91" t="s">
        <v>249</v>
      </c>
      <c r="AE217" s="50"/>
      <c r="AF217" s="90">
        <f>IF(AA217="Not Required",0,IF(UnitsOfMeasure="Imperial",M217,(M217*9/5+32)))</f>
        <v>0</v>
      </c>
      <c r="AG217" s="91" t="s">
        <v>204</v>
      </c>
      <c r="AH217" s="87"/>
      <c r="AI217" s="88"/>
      <c r="AJ217" s="84" t="str">
        <f>IF(OR(AL$30=$B$10,AL$30=$B$11,AL$30=$B$13,AL$30=$B$14,AL$30=$B$15),"Required","Not Required")</f>
        <v>Not Required</v>
      </c>
      <c r="AK217" s="89"/>
      <c r="AL217" s="90">
        <f>IF(AJ217="Not Required",0,IF(UnitsOfMeasure="Metric",O217,(O217-32)*5/9))</f>
        <v>0</v>
      </c>
      <c r="AM217" s="91" t="s">
        <v>249</v>
      </c>
      <c r="AN217" s="50"/>
      <c r="AO217" s="90">
        <f>IF(AJ217="Not Required",0,IF(UnitsOfMeasure="Imperial",O217,(O217*9/5+32)))</f>
        <v>0</v>
      </c>
      <c r="AP217" s="91" t="s">
        <v>204</v>
      </c>
      <c r="AQ217" s="87"/>
      <c r="AR217" s="92"/>
      <c r="AS217" s="293" t="s">
        <v>747</v>
      </c>
    </row>
    <row r="218" spans="1:45" ht="3.75" customHeight="1" x14ac:dyDescent="0.2">
      <c r="B218" s="50"/>
      <c r="C218" s="50"/>
      <c r="D218" s="50"/>
      <c r="E218" s="50"/>
      <c r="F218" s="50"/>
      <c r="G218" s="50"/>
      <c r="H218" s="50"/>
      <c r="I218" s="96"/>
      <c r="J218" s="97"/>
      <c r="K218" s="43"/>
      <c r="P218" s="89"/>
      <c r="Q218" s="298"/>
      <c r="R218" s="89"/>
      <c r="S218" s="89"/>
      <c r="W218" s="58"/>
      <c r="Y218" s="87"/>
      <c r="Z218" s="88"/>
      <c r="AA218" s="89"/>
      <c r="AB218" s="89"/>
      <c r="AC218" s="58"/>
      <c r="AF218" s="58"/>
      <c r="AH218" s="87"/>
      <c r="AI218" s="88"/>
      <c r="AJ218" s="89"/>
      <c r="AK218" s="89"/>
      <c r="AL218" s="58"/>
      <c r="AO218" s="58"/>
      <c r="AQ218" s="87"/>
      <c r="AR218" s="92"/>
      <c r="AS218" s="81"/>
    </row>
    <row r="219" spans="1:45" x14ac:dyDescent="0.2">
      <c r="B219" s="50"/>
      <c r="C219" s="50" t="s">
        <v>235</v>
      </c>
      <c r="D219" s="50"/>
      <c r="E219" s="50"/>
      <c r="F219" s="50"/>
      <c r="G219" s="50"/>
      <c r="H219" s="50"/>
      <c r="I219" s="96" t="s">
        <v>261</v>
      </c>
      <c r="J219" s="97" t="str">
        <f>IF(UnitsOfMeasure="Metric","Barg","psig")</f>
        <v>psig</v>
      </c>
      <c r="K219" s="125">
        <f>K221</f>
        <v>0</v>
      </c>
      <c r="L219" s="126"/>
      <c r="M219" s="125">
        <f>M221</f>
        <v>0</v>
      </c>
      <c r="N219" s="126"/>
      <c r="O219" s="125">
        <f>O221</f>
        <v>0</v>
      </c>
      <c r="P219" s="89"/>
      <c r="Q219" s="298"/>
      <c r="R219" s="84" t="str">
        <f>IF(OR(T$30=$B$14,T$30=$B$15,T$30=$B$16,T$30=$B$18,T$30=$B$20,T$30=$B$21,T$30=$B$22),"Required","Not Required")</f>
        <v>Not Required</v>
      </c>
      <c r="S219" s="89"/>
      <c r="T219" s="94">
        <f>IF(R219="Not Required",0,IF(UnitsOfMeasure="Metric",K219, K219/$U$16))</f>
        <v>0</v>
      </c>
      <c r="U219" s="95" t="s">
        <v>248</v>
      </c>
      <c r="V219" s="50"/>
      <c r="W219" s="94">
        <f>IF(R219="Not Required",0,IF(UnitsOfMeasure="Metric",K219*$U$16,K219))</f>
        <v>0</v>
      </c>
      <c r="X219" s="95" t="s">
        <v>202</v>
      </c>
      <c r="Y219" s="87"/>
      <c r="Z219" s="88"/>
      <c r="AA219" s="84" t="str">
        <f>IF(OR(AC$30=$B$14,AC$30=$B$15,AC$30=$B$16,AC$30=$B$18,AC$30=$B$20,AC$30=$B$21,AC$30=$B$22),"Required","Not Required")</f>
        <v>Not Required</v>
      </c>
      <c r="AB219" s="89"/>
      <c r="AC219" s="94">
        <f>IF(AA219="Not Required",0,IF(UnitsOfMeasure="Metric",M219, M219/$U$16))</f>
        <v>0</v>
      </c>
      <c r="AD219" s="95" t="s">
        <v>248</v>
      </c>
      <c r="AE219" s="50"/>
      <c r="AF219" s="94">
        <f>IF(AA219="Not Required",0,IF(UnitsOfMeasure="Metric", M219*$U$16,M219))</f>
        <v>0</v>
      </c>
      <c r="AG219" s="95" t="s">
        <v>202</v>
      </c>
      <c r="AH219" s="87"/>
      <c r="AI219" s="88"/>
      <c r="AJ219" s="84" t="str">
        <f>IF(OR(AL$30=$B$14,AL$30=$B$15,AL$30=$B$16,AL$30=$B$18,AL$30=$B$20,AL$30=$B$21,AL$30=$B$22),"Required","Not Required")</f>
        <v>Not Required</v>
      </c>
      <c r="AK219" s="89"/>
      <c r="AL219" s="94">
        <f>IF(AJ219="Not Required",0,IF(UnitsOfMeasure="Metric",O219, O219/$U$16))</f>
        <v>0</v>
      </c>
      <c r="AM219" s="95" t="s">
        <v>248</v>
      </c>
      <c r="AN219" s="50"/>
      <c r="AO219" s="94">
        <f>IF(AJ219="Not Required",0,IF(UnitsOfMeasure="Metric", O219*$U$16,O219))</f>
        <v>0</v>
      </c>
      <c r="AP219" s="95" t="s">
        <v>202</v>
      </c>
      <c r="AQ219" s="87"/>
      <c r="AR219" s="92"/>
      <c r="AS219" s="293" t="s">
        <v>762</v>
      </c>
    </row>
    <row r="220" spans="1:45" ht="3.75" customHeight="1" x14ac:dyDescent="0.2">
      <c r="B220" s="50"/>
      <c r="C220" s="50"/>
      <c r="D220" s="50"/>
      <c r="E220" s="50"/>
      <c r="F220" s="50"/>
      <c r="G220" s="50"/>
      <c r="H220" s="50"/>
      <c r="I220" s="96"/>
      <c r="J220" s="97"/>
      <c r="K220" s="43"/>
      <c r="P220" s="89"/>
      <c r="Q220" s="298"/>
      <c r="R220" s="89"/>
      <c r="S220" s="89"/>
      <c r="Y220" s="87"/>
      <c r="Z220" s="88"/>
      <c r="AA220" s="89"/>
      <c r="AB220" s="89"/>
      <c r="AC220" s="58"/>
      <c r="AH220" s="87"/>
      <c r="AI220" s="88"/>
      <c r="AJ220" s="89"/>
      <c r="AK220" s="89"/>
      <c r="AL220" s="58"/>
      <c r="AQ220" s="87"/>
      <c r="AR220" s="92"/>
      <c r="AS220" s="81"/>
    </row>
    <row r="221" spans="1:45" ht="14.25" hidden="1" customHeight="1" x14ac:dyDescent="0.2">
      <c r="A221" s="62" t="s">
        <v>263</v>
      </c>
      <c r="B221" s="50"/>
      <c r="C221" s="349" t="s">
        <v>235</v>
      </c>
      <c r="D221" s="346"/>
      <c r="E221" s="346"/>
      <c r="F221" s="346"/>
      <c r="G221" s="346"/>
      <c r="H221" s="346"/>
      <c r="I221" s="348" t="s">
        <v>261</v>
      </c>
      <c r="J221" s="347" t="str">
        <f>IF(UnitsOfMeasure="Metric","Barg","psig")</f>
        <v>psig</v>
      </c>
      <c r="K221" s="355">
        <f>IF(UnitsOfMeasure="Metric",T221,W221)</f>
        <v>0</v>
      </c>
      <c r="L221" s="126"/>
      <c r="M221" s="355">
        <f>IF(UnitsOfMeasure="Metric",AC221,AF221)</f>
        <v>0</v>
      </c>
      <c r="N221" s="126"/>
      <c r="O221" s="355">
        <f>IF(UnitsOfMeasure="Metric",AL221,AO221)</f>
        <v>0</v>
      </c>
      <c r="P221" s="89"/>
      <c r="Q221" s="298"/>
      <c r="R221" s="84" t="str">
        <f>IF(OR(T$30=$B$14,T$30=$B$15,T$30=$B$16,T$30=$B$18,T$30=$B$20,T$30=$B$21,T$30=$B$22),"Required","Not Required")</f>
        <v>Not Required</v>
      </c>
      <c r="S221" s="89"/>
      <c r="T221" s="94">
        <f>IF(R221="Not Required",0,IF(OR(T30=$B$14,T30=$B$15,T30=$B$22),IF(UnitsOfMeasure="Metric",T95+2,T95+30/$U$16),
IF(OR(T30=$B$16,T30=$B$18,T30=$B$20,T30=$B$21),IF(UnitsOfMeasure="Metric",0.35,5/$U$16),0)))</f>
        <v>0</v>
      </c>
      <c r="U221" s="95" t="s">
        <v>248</v>
      </c>
      <c r="V221" s="50"/>
      <c r="W221" s="94">
        <f>IF(R221="Not Required",0,IF(OR(T30=$B$14,T30=$B$15,T30=$B$22),IF(UnitsOfMeasure="Imperial",W95+30,W93+2*$U$16),
IF(OR(T30=$B$16,T30=$B$18,T30=$B$20,T30=$B$21),IF(UnitsOfMeasure="Imperial",5,0.35*$U$16),0)))</f>
        <v>0</v>
      </c>
      <c r="X221" s="95" t="s">
        <v>202</v>
      </c>
      <c r="Y221" s="87"/>
      <c r="Z221" s="88"/>
      <c r="AA221" s="84" t="str">
        <f>IF(OR(AC$30=$B$14,AC$30=$B$15,AC$30=$B$16,AC$30=$B$18,AC$30=$B$20,AC$30=$B$21,AC$30=$B$22),"Required","Not Required")</f>
        <v>Not Required</v>
      </c>
      <c r="AB221" s="89"/>
      <c r="AC221" s="94">
        <f>IF(AA221="Not Required",0,IF(OR(AC30=$B$14,AC30=$B$15,AC30=$B$22),IF(UnitsOfMeasure="Metric",AC95+2,AC95+30/$U$16),
IF(OR(AC30=$B$16,AC30=$B$18,AC30=$B$20,AC30=$B$21),IF(UnitsOfMeasure="Metric",0.35,5/$U$16),0)))</f>
        <v>0</v>
      </c>
      <c r="AD221" s="95" t="s">
        <v>248</v>
      </c>
      <c r="AE221" s="50"/>
      <c r="AF221" s="94">
        <f>IF(AA221="Not Required",0,IF(OR(AC30=$B$14,AC30=$B$15,AC30=$B$22),IF(UnitsOfMeasure="Imperial",AF95+30,AF93+2*$U$16),
IF(OR(AC30=$B$16,AC30=$B$18,AC30=$B$20,AC30=$B$21),IF(UnitsOfMeasure="Imperial",5,0.35*$U$16),0)))</f>
        <v>0</v>
      </c>
      <c r="AG221" s="95" t="s">
        <v>202</v>
      </c>
      <c r="AH221" s="87"/>
      <c r="AI221" s="88"/>
      <c r="AJ221" s="84" t="str">
        <f>IF(OR(AL$30=$B$14,AL$30=$B$15,AL$30=$B$16,AL$30=$B$18,AL$30=$B$20,AL$30=$B$21,AL$30=$B$22),"Required","Not Required")</f>
        <v>Not Required</v>
      </c>
      <c r="AK221" s="89"/>
      <c r="AL221" s="94">
        <f>IF(AJ221="Not Required",0,IF(OR(AL30=$B$14,AL30=$B$15,AL30=$B$22),IF(UnitsOfMeasure="Metric",AL95+2,AL95+30/$U$16),
IF(OR(AL30=$B$16,AL30=$B$18,AL30=$B$20,AL30=$B$21),IF(UnitsOfMeasure="Metric",0.35,5/$U$16),0)))</f>
        <v>0</v>
      </c>
      <c r="AM221" s="95" t="s">
        <v>248</v>
      </c>
      <c r="AN221" s="50"/>
      <c r="AO221" s="94">
        <f>IF(AJ221="Not Required",0,IF(OR(AL30=$B$14,AL30=$B$15,AL30=$B$22),IF(UnitsOfMeasure="Imperial",AO95+30,AO93+2*$U$16),
IF(OR(AL30=$B$16,AL30=$B$18,AL30=$B$20,AL30=$B$21),IF(UnitsOfMeasure="Imperial",5,0.35*$U$16),0)))</f>
        <v>0</v>
      </c>
      <c r="AP221" s="95" t="s">
        <v>202</v>
      </c>
      <c r="AQ221" s="87"/>
      <c r="AR221" s="92"/>
      <c r="AS221" s="80" t="s">
        <v>278</v>
      </c>
    </row>
    <row r="222" spans="1:45" ht="3.75" hidden="1" customHeight="1" x14ac:dyDescent="0.2">
      <c r="A222" s="62"/>
      <c r="B222" s="50"/>
      <c r="C222" s="50"/>
      <c r="D222" s="50"/>
      <c r="E222" s="50"/>
      <c r="F222" s="50"/>
      <c r="G222" s="50"/>
      <c r="H222" s="50"/>
      <c r="I222" s="96"/>
      <c r="J222" s="97"/>
      <c r="K222" s="43"/>
      <c r="P222" s="89"/>
      <c r="Q222" s="298"/>
      <c r="R222" s="89"/>
      <c r="S222" s="89"/>
      <c r="Y222" s="87"/>
      <c r="Z222" s="88"/>
      <c r="AA222" s="89"/>
      <c r="AB222" s="89"/>
      <c r="AC222" s="58"/>
      <c r="AH222" s="87"/>
      <c r="AI222" s="88"/>
      <c r="AJ222" s="89"/>
      <c r="AK222" s="89"/>
      <c r="AL222" s="58"/>
      <c r="AQ222" s="87"/>
      <c r="AR222" s="92"/>
      <c r="AS222" s="81"/>
    </row>
    <row r="223" spans="1:45" x14ac:dyDescent="0.2">
      <c r="B223" s="50"/>
      <c r="C223" s="50" t="s">
        <v>236</v>
      </c>
      <c r="D223" s="50"/>
      <c r="E223" s="50"/>
      <c r="F223" s="50"/>
      <c r="G223" s="50"/>
      <c r="H223" s="50"/>
      <c r="I223" s="96" t="s">
        <v>261</v>
      </c>
      <c r="J223" s="97" t="str">
        <f>IF(UnitsOfMeasure="Metric","Nl/min","SCFM")</f>
        <v>SCFM</v>
      </c>
      <c r="K223" s="125">
        <f>K225</f>
        <v>0</v>
      </c>
      <c r="L223" s="126"/>
      <c r="M223" s="125">
        <f>M225</f>
        <v>0</v>
      </c>
      <c r="N223" s="126"/>
      <c r="O223" s="125">
        <f>O225</f>
        <v>0</v>
      </c>
      <c r="P223" s="89"/>
      <c r="Q223" s="298"/>
      <c r="R223" s="84" t="str">
        <f>IF(OR(T$30=$B$16,T$30=$B$18,T$30=$B$20,T$30=$B$21,T$30=$B$22),"Required","Not Required")</f>
        <v>Not Required</v>
      </c>
      <c r="S223" s="89"/>
      <c r="T223" s="94">
        <f>IF(R223="Not Required",0,IF(UnitsOfMeasure="Metric",K223, K223*$U$17))</f>
        <v>0</v>
      </c>
      <c r="U223" s="95" t="s">
        <v>266</v>
      </c>
      <c r="V223" s="50"/>
      <c r="W223" s="94">
        <f>IF(R223="Not Required",0,IF(UnitsOfMeasure="Metric", K223/$U$17,K223))</f>
        <v>0</v>
      </c>
      <c r="X223" s="95" t="s">
        <v>237</v>
      </c>
      <c r="Y223" s="87"/>
      <c r="Z223" s="88"/>
      <c r="AA223" s="84" t="str">
        <f>IF(OR(AC$30=$B$16,AC$30=$B$18,AC$30=$B$20,AC$30=$B$21,AC$30=$B$22),"Required","Not Required")</f>
        <v>Not Required</v>
      </c>
      <c r="AB223" s="89"/>
      <c r="AC223" s="94">
        <f>IF(AA223="Not Required",0,IF(UnitsOfMeasure="Metric",M223, M223*$U$17))</f>
        <v>0</v>
      </c>
      <c r="AD223" s="95" t="s">
        <v>266</v>
      </c>
      <c r="AE223" s="50"/>
      <c r="AF223" s="94">
        <f>IF(AA223="Not Required",0,IF(UnitsOfMeasure="Metric", M223/$U$17,M223))</f>
        <v>0</v>
      </c>
      <c r="AG223" s="95" t="s">
        <v>237</v>
      </c>
      <c r="AH223" s="87"/>
      <c r="AI223" s="88"/>
      <c r="AJ223" s="84" t="str">
        <f>IF(OR(AL$30=$B$16,AL$30=$B$18,AL$30=$B$20,AL$30=$B$21,AL$30=$B$22),"Required","Not Required")</f>
        <v>Not Required</v>
      </c>
      <c r="AK223" s="89"/>
      <c r="AL223" s="94">
        <f>IF(AJ223="Not Required",0,IF(UnitsOfMeasure="Metric",O223, O223*$U$17))</f>
        <v>0</v>
      </c>
      <c r="AM223" s="95" t="s">
        <v>266</v>
      </c>
      <c r="AN223" s="50"/>
      <c r="AO223" s="94">
        <f>IF(AJ223="Not Required",0,IF(UnitsOfMeasure="Metric", O223/$U$17,O223))</f>
        <v>0</v>
      </c>
      <c r="AP223" s="95" t="s">
        <v>237</v>
      </c>
      <c r="AQ223" s="87"/>
      <c r="AR223" s="92"/>
      <c r="AS223" s="293" t="s">
        <v>762</v>
      </c>
    </row>
    <row r="224" spans="1:45" ht="3.75" customHeight="1" x14ac:dyDescent="0.2">
      <c r="B224" s="50"/>
      <c r="C224" s="50"/>
      <c r="D224" s="50"/>
      <c r="E224" s="50"/>
      <c r="F224" s="50"/>
      <c r="G224" s="50"/>
      <c r="H224" s="50"/>
      <c r="I224" s="96"/>
      <c r="J224" s="97"/>
      <c r="K224" s="43"/>
      <c r="P224" s="89"/>
      <c r="Q224" s="298"/>
      <c r="R224" s="89"/>
      <c r="S224" s="89"/>
      <c r="Y224" s="87"/>
      <c r="Z224" s="88"/>
      <c r="AA224" s="89"/>
      <c r="AB224" s="89"/>
      <c r="AC224" s="58"/>
      <c r="AH224" s="87"/>
      <c r="AI224" s="88"/>
      <c r="AJ224" s="89"/>
      <c r="AK224" s="89"/>
      <c r="AL224" s="58"/>
      <c r="AQ224" s="87"/>
      <c r="AR224" s="92"/>
      <c r="AS224" s="81"/>
    </row>
    <row r="225" spans="1:45" ht="14.25" hidden="1" customHeight="1" x14ac:dyDescent="0.2">
      <c r="A225" s="62" t="s">
        <v>263</v>
      </c>
      <c r="B225" s="50"/>
      <c r="C225" s="349" t="s">
        <v>236</v>
      </c>
      <c r="D225" s="346"/>
      <c r="E225" s="346"/>
      <c r="F225" s="346"/>
      <c r="G225" s="346"/>
      <c r="H225" s="346"/>
      <c r="I225" s="348" t="s">
        <v>261</v>
      </c>
      <c r="J225" s="347" t="str">
        <f>IF(UnitsOfMeasure="Metric","Nl/min","SCFM")</f>
        <v>SCFM</v>
      </c>
      <c r="K225" s="355">
        <f>IF(UnitsOfMeasure="Metric",T225,W225)</f>
        <v>0</v>
      </c>
      <c r="L225" s="126"/>
      <c r="M225" s="355">
        <f>IF(UnitsOfMeasure="Metric",AC225,AF225)</f>
        <v>0</v>
      </c>
      <c r="N225" s="126"/>
      <c r="O225" s="355">
        <f>IF(UnitsOfMeasure="Metric",AL225,AO225)</f>
        <v>0</v>
      </c>
      <c r="P225" s="89"/>
      <c r="Q225" s="298"/>
      <c r="R225" s="84" t="str">
        <f>IF(OR(T$30=$B$16,T$30=$B$18,T$30=$B$20,T$30=$B$21,T$30=$B$22),"Required","Not Required")</f>
        <v>Not Required</v>
      </c>
      <c r="S225" s="89"/>
      <c r="T225" s="94">
        <f>ROUND(W225*$U$17,4)</f>
        <v>0</v>
      </c>
      <c r="U225" s="95" t="s">
        <v>266</v>
      </c>
      <c r="V225" s="50"/>
      <c r="W225" s="94">
        <f>IF(R225="Not Required",0,ROUND((2.7*(W93/2.625)^2*(W91/3600)^0.5*((W95+W219)/150)^2)/60,5))</f>
        <v>0</v>
      </c>
      <c r="X225" s="95" t="s">
        <v>237</v>
      </c>
      <c r="Y225" s="87"/>
      <c r="Z225" s="88"/>
      <c r="AA225" s="84" t="str">
        <f>IF(OR(AC$30=$B$16,AC$30=$B$18,AC$30=$B$20,AC$30=$B$21,AC$30=$B$22),"Required","Not Required")</f>
        <v>Not Required</v>
      </c>
      <c r="AB225" s="89"/>
      <c r="AC225" s="94">
        <f>ROUND(AF225*$U$17,4)</f>
        <v>0</v>
      </c>
      <c r="AD225" s="95" t="s">
        <v>266</v>
      </c>
      <c r="AE225" s="50"/>
      <c r="AF225" s="94">
        <f>IF(AA225="Not Required",0,ROUND((2.7*(AF93/2.625)^2*(AF91/3600)^0.5*((AF95+AF219)/150)^2)/60,5))</f>
        <v>0</v>
      </c>
      <c r="AG225" s="95" t="s">
        <v>237</v>
      </c>
      <c r="AH225" s="87"/>
      <c r="AI225" s="88"/>
      <c r="AJ225" s="84" t="str">
        <f>IF(OR(AL$30=$B$16,AL$30=$B$18,AL$30=$B$20,AL$30=$B$21,AL$30=$B$22),"Required","Not Required")</f>
        <v>Not Required</v>
      </c>
      <c r="AK225" s="89"/>
      <c r="AL225" s="94">
        <f>ROUND(AO225*$U$17,4)</f>
        <v>0</v>
      </c>
      <c r="AM225" s="95" t="s">
        <v>266</v>
      </c>
      <c r="AN225" s="50"/>
      <c r="AO225" s="94">
        <f>IF(AJ225="Not Required",0,ROUND((2.7*(AO93/2.625)^2*(AO91/3600)^0.5*((AO95+AO219)/150)^2)/60,5))</f>
        <v>0</v>
      </c>
      <c r="AP225" s="95" t="s">
        <v>237</v>
      </c>
      <c r="AQ225" s="87"/>
      <c r="AR225" s="92"/>
      <c r="AS225" s="80" t="s">
        <v>267</v>
      </c>
    </row>
    <row r="226" spans="1:45" ht="3.75" hidden="1" customHeight="1" x14ac:dyDescent="0.2">
      <c r="A226" s="62"/>
      <c r="B226" s="50"/>
      <c r="C226" s="50"/>
      <c r="D226" s="50"/>
      <c r="E226" s="50"/>
      <c r="F226" s="50"/>
      <c r="G226" s="50"/>
      <c r="H226" s="50"/>
      <c r="I226" s="96"/>
      <c r="J226" s="97"/>
      <c r="K226" s="43"/>
      <c r="P226" s="89"/>
      <c r="Q226" s="298"/>
      <c r="R226" s="89"/>
      <c r="S226" s="89"/>
      <c r="Y226" s="87"/>
      <c r="Z226" s="88"/>
      <c r="AA226" s="89"/>
      <c r="AB226" s="89"/>
      <c r="AC226" s="58"/>
      <c r="AH226" s="87"/>
      <c r="AI226" s="88"/>
      <c r="AJ226" s="89"/>
      <c r="AK226" s="89"/>
      <c r="AL226" s="58"/>
      <c r="AQ226" s="87"/>
      <c r="AR226" s="92"/>
      <c r="AS226" s="81"/>
    </row>
    <row r="227" spans="1:45" x14ac:dyDescent="0.2">
      <c r="B227" s="50"/>
      <c r="C227" s="50" t="s">
        <v>238</v>
      </c>
      <c r="D227" s="50"/>
      <c r="E227" s="50"/>
      <c r="F227" s="50"/>
      <c r="G227" s="50"/>
      <c r="H227" s="270"/>
      <c r="I227" s="96" t="s">
        <v>268</v>
      </c>
      <c r="J227" s="97" t="str">
        <f>IF(UnitsOfMeasure="Metric","€","$")</f>
        <v>$</v>
      </c>
      <c r="K227" s="268">
        <v>0</v>
      </c>
      <c r="L227" s="82"/>
      <c r="M227" s="268">
        <f>K227</f>
        <v>0</v>
      </c>
      <c r="N227" s="82"/>
      <c r="O227" s="268">
        <f>K227</f>
        <v>0</v>
      </c>
      <c r="P227" s="89"/>
      <c r="Q227" s="298"/>
      <c r="R227" s="84" t="str">
        <f>IF(NOT(OR(T$30=$B$6,T$30=$B$23,T$30=$B$24)),"Required","Not Required")</f>
        <v>Required</v>
      </c>
      <c r="S227" s="89"/>
      <c r="T227" s="90">
        <f>IF(R227="Not Required",0,IF(UnitsOfMeasure="Metric",K227,K227*ExchangeRate))</f>
        <v>0</v>
      </c>
      <c r="U227" s="91" t="s">
        <v>279</v>
      </c>
      <c r="V227" s="50"/>
      <c r="W227" s="90">
        <f>IF(R227="Not Required",0,IF(UnitsOfMeasure="Imperial",K227,K227/ExchangeRate))</f>
        <v>0</v>
      </c>
      <c r="X227" s="91" t="s">
        <v>205</v>
      </c>
      <c r="Y227" s="87"/>
      <c r="Z227" s="88"/>
      <c r="AA227" s="84" t="str">
        <f>IF(NOT(OR(AC$30=$B$6,AC$30=$B$23,AC$30=$B$24)),"Required","Not Required")</f>
        <v>Required</v>
      </c>
      <c r="AB227" s="89"/>
      <c r="AC227" s="90">
        <f>IF(AA227="Not Required",0,IF(UnitsOfMeasure="Metric",M227,M227*ExchangeRate))</f>
        <v>0</v>
      </c>
      <c r="AD227" s="91" t="s">
        <v>279</v>
      </c>
      <c r="AE227" s="50"/>
      <c r="AF227" s="90">
        <f>IF(AA227="Not Required",0,IF(UnitsOfMeasure="Imperial",M227,M227/ExchangeRate))</f>
        <v>0</v>
      </c>
      <c r="AG227" s="91" t="s">
        <v>205</v>
      </c>
      <c r="AH227" s="87"/>
      <c r="AI227" s="88"/>
      <c r="AJ227" s="84" t="str">
        <f>IF(NOT(OR(AL$30=$B$6,AL$30=$B$23,AL$30=$B$24)),"Required","Not Required")</f>
        <v>Not Required</v>
      </c>
      <c r="AK227" s="89"/>
      <c r="AL227" s="90">
        <f>IF(AJ227="Not Required",0,IF(UnitsOfMeasure="Metric",O227,O227*ExchangeRate))</f>
        <v>0</v>
      </c>
      <c r="AM227" s="91" t="s">
        <v>279</v>
      </c>
      <c r="AN227" s="50"/>
      <c r="AO227" s="90">
        <f>IF(AJ227="Not Required",0,IF(UnitsOfMeasure="Imperial",O227,O227/ExchangeRate))</f>
        <v>0</v>
      </c>
      <c r="AP227" s="91" t="s">
        <v>205</v>
      </c>
      <c r="AQ227" s="87"/>
      <c r="AR227" s="92"/>
      <c r="AS227" s="80" t="s">
        <v>270</v>
      </c>
    </row>
    <row r="228" spans="1:45" ht="3.75" customHeight="1" x14ac:dyDescent="0.2">
      <c r="B228" s="50"/>
      <c r="C228" s="50"/>
      <c r="D228" s="50"/>
      <c r="E228" s="50"/>
      <c r="F228" s="50"/>
      <c r="G228" s="50"/>
      <c r="H228" s="50"/>
      <c r="I228" s="96"/>
      <c r="J228" s="97"/>
      <c r="K228" s="43"/>
      <c r="P228" s="89"/>
      <c r="Q228" s="298"/>
      <c r="R228" s="89"/>
      <c r="S228" s="89"/>
      <c r="Y228" s="87"/>
      <c r="Z228" s="88"/>
      <c r="AA228" s="89"/>
      <c r="AB228" s="89"/>
      <c r="AC228" s="58"/>
      <c r="AH228" s="87"/>
      <c r="AI228" s="88"/>
      <c r="AJ228" s="89"/>
      <c r="AK228" s="89"/>
      <c r="AL228" s="58"/>
      <c r="AQ228" s="87"/>
      <c r="AR228" s="92"/>
      <c r="AS228" s="81"/>
    </row>
    <row r="229" spans="1:45" x14ac:dyDescent="0.2">
      <c r="B229" s="50"/>
      <c r="C229" s="50" t="s">
        <v>239</v>
      </c>
      <c r="D229" s="50"/>
      <c r="E229" s="50"/>
      <c r="F229" s="50"/>
      <c r="G229" s="50"/>
      <c r="H229" s="50"/>
      <c r="I229" s="98">
        <v>0.25</v>
      </c>
      <c r="J229" s="97" t="s">
        <v>210</v>
      </c>
      <c r="K229" s="127">
        <f>I229</f>
        <v>0.25</v>
      </c>
      <c r="L229" s="126"/>
      <c r="M229" s="127">
        <f>K229</f>
        <v>0.25</v>
      </c>
      <c r="N229" s="126"/>
      <c r="O229" s="127">
        <f>K229</f>
        <v>0.25</v>
      </c>
      <c r="P229" s="89"/>
      <c r="Q229" s="298"/>
      <c r="R229" s="84" t="str">
        <f>IF(OR(T$30=$B$10,T$30=$B$11,T$30=$B$13,T$30=$B$14,T$30=$B$15,T$30=$B$16,T$30=$B$17,T$30=$B$18,T$30=$B$19,T$30=$B$20,T$30=$B$21,T$30=$B$22),"Required","Not Required")</f>
        <v>Required</v>
      </c>
      <c r="S229" s="89"/>
      <c r="T229" s="99">
        <f>IF(R229="Not Required",0,K229)</f>
        <v>0.25</v>
      </c>
      <c r="U229" s="91" t="s">
        <v>224</v>
      </c>
      <c r="V229" s="50"/>
      <c r="W229" s="99">
        <f>IF(R229="Not Required",0,K229)</f>
        <v>0.25</v>
      </c>
      <c r="X229" s="91" t="s">
        <v>224</v>
      </c>
      <c r="Y229" s="87"/>
      <c r="Z229" s="88"/>
      <c r="AA229" s="84" t="str">
        <f>IF(OR(AC$30=$B$10,AC$30=$B$11,AC$30=$B$13,AC$30=$B$14,AC$30=$B$15,AC$30=$B$16,AC$30=$B$17,AC$30=$B$18,AC$30=$B$19,AC$30=$B$20,AC$30=$B$21,AC$30=$B$22),"Required","Not Required")</f>
        <v>Not Required</v>
      </c>
      <c r="AB229" s="89"/>
      <c r="AC229" s="99">
        <f>IF(AA229="Not Required",0,M229)</f>
        <v>0</v>
      </c>
      <c r="AD229" s="91" t="s">
        <v>224</v>
      </c>
      <c r="AE229" s="50"/>
      <c r="AF229" s="99">
        <f>IF(AA229="Not Required",0,M229)</f>
        <v>0</v>
      </c>
      <c r="AG229" s="91" t="s">
        <v>224</v>
      </c>
      <c r="AH229" s="87"/>
      <c r="AI229" s="88"/>
      <c r="AJ229" s="84" t="str">
        <f>IF(OR(AL$30=$B$10,AL$30=$B$11,AL$30=$B$13,AL$30=$B$14,AL$30=$B$15,AL$30=$B$16,AL$30=$B$17,AL$30=$B$18,AL$30=$B$19,AL$30=$B$20,AL$30=$B$21,AL$30=$B$22),"Required","Not Required")</f>
        <v>Not Required</v>
      </c>
      <c r="AK229" s="89"/>
      <c r="AL229" s="99">
        <f>IF(AJ229="Not Required",0,O229)</f>
        <v>0</v>
      </c>
      <c r="AM229" s="91" t="s">
        <v>224</v>
      </c>
      <c r="AN229" s="50"/>
      <c r="AO229" s="99">
        <f>IF(AJ229="Not Required",0,O229)</f>
        <v>0</v>
      </c>
      <c r="AP229" s="91" t="s">
        <v>224</v>
      </c>
      <c r="AQ229" s="87"/>
      <c r="AR229" s="92"/>
      <c r="AS229" s="80" t="s">
        <v>271</v>
      </c>
    </row>
    <row r="230" spans="1:45" ht="3.75" customHeight="1" x14ac:dyDescent="0.2">
      <c r="B230" s="50"/>
      <c r="C230" s="50"/>
      <c r="D230" s="50"/>
      <c r="E230" s="50"/>
      <c r="F230" s="50"/>
      <c r="G230" s="50"/>
      <c r="H230" s="50"/>
      <c r="I230" s="96"/>
      <c r="J230" s="97"/>
      <c r="K230" s="43"/>
      <c r="P230" s="89"/>
      <c r="Q230" s="298"/>
      <c r="R230" s="89"/>
      <c r="S230" s="89"/>
      <c r="Y230" s="87"/>
      <c r="Z230" s="88"/>
      <c r="AA230" s="89"/>
      <c r="AB230" s="89"/>
      <c r="AC230" s="58"/>
      <c r="AH230" s="87"/>
      <c r="AI230" s="88"/>
      <c r="AJ230" s="89"/>
      <c r="AK230" s="89"/>
      <c r="AL230" s="58"/>
      <c r="AQ230" s="87"/>
      <c r="AR230" s="92"/>
      <c r="AS230" s="81"/>
    </row>
    <row r="231" spans="1:45" x14ac:dyDescent="0.2">
      <c r="B231" s="50"/>
      <c r="C231" s="50" t="s">
        <v>240</v>
      </c>
      <c r="D231" s="50"/>
      <c r="E231" s="50"/>
      <c r="F231" s="50"/>
      <c r="G231" s="50"/>
      <c r="H231" s="50"/>
      <c r="I231" s="96">
        <v>72</v>
      </c>
      <c r="J231" s="97" t="s">
        <v>208</v>
      </c>
      <c r="K231" s="125">
        <f>I231</f>
        <v>72</v>
      </c>
      <c r="L231" s="126"/>
      <c r="M231" s="125">
        <f>K231</f>
        <v>72</v>
      </c>
      <c r="N231" s="126"/>
      <c r="O231" s="125">
        <f>K231</f>
        <v>72</v>
      </c>
      <c r="P231" s="89"/>
      <c r="Q231" s="298"/>
      <c r="R231" s="84" t="str">
        <f>IF(OR(T$30=$B$10,T$30=$B$11,T$30=$B$13,T$30=$B$14,T$30=$B$15,T$30=$B$16,T$30=$B$17,T$30=$B$18,T$30=$B$19,T$30=$B$20,T$30=$B$21,T$30=$B$22),"Required","Not Required")</f>
        <v>Required</v>
      </c>
      <c r="S231" s="89"/>
      <c r="T231" s="90">
        <f>IF(R231="Not Required",0,K231)</f>
        <v>72</v>
      </c>
      <c r="U231" s="91" t="s">
        <v>252</v>
      </c>
      <c r="V231" s="50"/>
      <c r="W231" s="90">
        <f>IF(R231="Not Required",0,K231)</f>
        <v>72</v>
      </c>
      <c r="X231" s="91" t="s">
        <v>252</v>
      </c>
      <c r="Y231" s="87"/>
      <c r="Z231" s="88"/>
      <c r="AA231" s="84" t="str">
        <f>IF(OR(AC$30=$B$10,AC$30=$B$11,AC$30=$B$13,AC$30=$B$14,AC$30=$B$15,AC$30=$B$16,AC$30=$B$17,AC$30=$B$18,AC$30=$B$19,AC$30=$B$20,AC$30=$B$21,AC$30=$B$22),"Required","Not Required")</f>
        <v>Not Required</v>
      </c>
      <c r="AB231" s="89"/>
      <c r="AC231" s="90">
        <f>IF(AA231="Not Required",0,M231)</f>
        <v>0</v>
      </c>
      <c r="AD231" s="91" t="s">
        <v>252</v>
      </c>
      <c r="AE231" s="50"/>
      <c r="AF231" s="90">
        <f>IF(AA231="Not Required",0,M231)</f>
        <v>0</v>
      </c>
      <c r="AG231" s="91" t="s">
        <v>252</v>
      </c>
      <c r="AH231" s="87"/>
      <c r="AI231" s="88"/>
      <c r="AJ231" s="84" t="str">
        <f>IF(OR(AL$30=$B$10,AL$30=$B$11,AL$30=$B$13,AL$30=$B$14,AL$30=$B$15,AL$30=$B$16,AL$30=$B$17,AL$30=$B$18,AL$30=$B$19,AL$30=$B$20,AL$30=$B$21,AL$30=$B$22),"Required","Not Required")</f>
        <v>Not Required</v>
      </c>
      <c r="AK231" s="89"/>
      <c r="AL231" s="90">
        <f>IF(AJ231="Not Required",0,O231)</f>
        <v>0</v>
      </c>
      <c r="AM231" s="91" t="s">
        <v>252</v>
      </c>
      <c r="AN231" s="50"/>
      <c r="AO231" s="90">
        <f>IF(AJ231="Not Required",0,O231)</f>
        <v>0</v>
      </c>
      <c r="AP231" s="91" t="s">
        <v>252</v>
      </c>
      <c r="AQ231" s="87"/>
      <c r="AR231" s="92"/>
      <c r="AS231" s="80" t="s">
        <v>271</v>
      </c>
    </row>
    <row r="232" spans="1:45" ht="3.75" customHeight="1" x14ac:dyDescent="0.2">
      <c r="B232" s="50"/>
      <c r="C232" s="50"/>
      <c r="D232" s="50"/>
      <c r="E232" s="50"/>
      <c r="F232" s="50"/>
      <c r="G232" s="50"/>
      <c r="H232" s="50"/>
      <c r="I232" s="96"/>
      <c r="J232" s="97"/>
      <c r="K232" s="43"/>
      <c r="P232" s="89"/>
      <c r="Q232" s="298"/>
      <c r="R232" s="89"/>
      <c r="S232" s="89"/>
      <c r="Y232" s="87"/>
      <c r="Z232" s="88"/>
      <c r="AA232" s="89"/>
      <c r="AB232" s="89"/>
      <c r="AC232" s="58"/>
      <c r="AH232" s="87"/>
      <c r="AI232" s="88"/>
      <c r="AJ232" s="89"/>
      <c r="AK232" s="89"/>
      <c r="AL232" s="58"/>
      <c r="AQ232" s="87"/>
      <c r="AR232" s="92"/>
      <c r="AS232" s="81"/>
    </row>
    <row r="233" spans="1:45" x14ac:dyDescent="0.2">
      <c r="B233" s="50"/>
      <c r="C233" s="50" t="s">
        <v>241</v>
      </c>
      <c r="D233" s="50"/>
      <c r="E233" s="50"/>
      <c r="F233" s="50"/>
      <c r="G233" s="50"/>
      <c r="H233" s="50"/>
      <c r="I233" s="96">
        <v>4</v>
      </c>
      <c r="J233" s="97" t="s">
        <v>242</v>
      </c>
      <c r="K233" s="125">
        <f>I233</f>
        <v>4</v>
      </c>
      <c r="L233" s="126"/>
      <c r="M233" s="125">
        <f>K233</f>
        <v>4</v>
      </c>
      <c r="N233" s="126"/>
      <c r="O233" s="125">
        <f>K233</f>
        <v>4</v>
      </c>
      <c r="P233" s="89"/>
      <c r="Q233" s="298"/>
      <c r="R233" s="84" t="str">
        <f>IF(OR(T$30=$B$10,T$30=$B$11,T$30=$B$13,T$30=$B$14,T$30=$B$15,T$30=$B$16,T$30=$B$17,T$30=$B$18,T$30=$B$19,T$30=$B$20,T$30=$B$21,T$30=$B$22),"Required","Not Required")</f>
        <v>Required</v>
      </c>
      <c r="S233" s="89"/>
      <c r="T233" s="90">
        <f>IF(R233="Not Required",0,K233)</f>
        <v>4</v>
      </c>
      <c r="U233" s="91" t="s">
        <v>242</v>
      </c>
      <c r="V233" s="50"/>
      <c r="W233" s="90">
        <f>IF(R233="Not Required",0,K233)</f>
        <v>4</v>
      </c>
      <c r="X233" s="91" t="s">
        <v>242</v>
      </c>
      <c r="Y233" s="87"/>
      <c r="Z233" s="88"/>
      <c r="AA233" s="84" t="str">
        <f>IF(OR(AC$30=$B$10,AC$30=$B$11,AC$30=$B$13,AC$30=$B$14,AC$30=$B$15,AC$30=$B$16,AC$30=$B$17,AC$30=$B$18,AC$30=$B$19,AC$30=$B$20,AC$30=$B$21,AC$30=$B$22),"Required","Not Required")</f>
        <v>Not Required</v>
      </c>
      <c r="AB233" s="89"/>
      <c r="AC233" s="90">
        <f>IF(AA233="Not Required",0,M233)</f>
        <v>0</v>
      </c>
      <c r="AD233" s="91" t="s">
        <v>242</v>
      </c>
      <c r="AE233" s="50"/>
      <c r="AF233" s="90">
        <f>IF(AA233="Not Required",0,M233)</f>
        <v>0</v>
      </c>
      <c r="AG233" s="91" t="s">
        <v>242</v>
      </c>
      <c r="AH233" s="87"/>
      <c r="AI233" s="88"/>
      <c r="AJ233" s="84" t="str">
        <f>IF(OR(AL$30=$B$10,AL$30=$B$11,AL$30=$B$13,AL$30=$B$14,AL$30=$B$15,AL$30=$B$16,AL$30=$B$17,AL$30=$B$18,AL$30=$B$19,AL$30=$B$20,AL$30=$B$21,AL$30=$B$22),"Required","Not Required")</f>
        <v>Not Required</v>
      </c>
      <c r="AK233" s="89"/>
      <c r="AL233" s="90">
        <f>IF(AJ233="Not Required",0,O233)</f>
        <v>0</v>
      </c>
      <c r="AM233" s="91" t="s">
        <v>242</v>
      </c>
      <c r="AN233" s="50"/>
      <c r="AO233" s="90">
        <f>IF(AJ233="Not Required",0,O233)</f>
        <v>0</v>
      </c>
      <c r="AP233" s="91" t="s">
        <v>242</v>
      </c>
      <c r="AQ233" s="87"/>
      <c r="AR233" s="92"/>
      <c r="AS233" s="80" t="s">
        <v>271</v>
      </c>
    </row>
    <row r="234" spans="1:45" ht="3.75" customHeight="1" x14ac:dyDescent="0.2">
      <c r="B234" s="50"/>
      <c r="C234" s="50"/>
      <c r="D234" s="50"/>
      <c r="E234" s="50"/>
      <c r="F234" s="50"/>
      <c r="G234" s="50"/>
      <c r="H234" s="50"/>
      <c r="I234" s="96"/>
      <c r="J234" s="97"/>
      <c r="K234" s="43"/>
      <c r="P234" s="89"/>
      <c r="Q234" s="298"/>
      <c r="R234" s="89"/>
      <c r="S234" s="89"/>
      <c r="Y234" s="87"/>
      <c r="Z234" s="88"/>
      <c r="AA234" s="89"/>
      <c r="AB234" s="89"/>
      <c r="AC234" s="58"/>
      <c r="AH234" s="87"/>
      <c r="AI234" s="88"/>
      <c r="AJ234" s="89"/>
      <c r="AK234" s="89"/>
      <c r="AL234" s="58"/>
      <c r="AQ234" s="87"/>
      <c r="AR234" s="92"/>
      <c r="AS234" s="81"/>
    </row>
    <row r="235" spans="1:45" x14ac:dyDescent="0.2">
      <c r="B235" s="50"/>
      <c r="C235" s="50" t="s">
        <v>243</v>
      </c>
      <c r="D235" s="50"/>
      <c r="E235" s="50"/>
      <c r="F235" s="50"/>
      <c r="G235" s="50"/>
      <c r="H235" s="50"/>
      <c r="I235" s="179">
        <v>0</v>
      </c>
      <c r="J235" s="97" t="str">
        <f>IF(UnitsOfMeasure="Metric","€ per seal","$ per seal")</f>
        <v>$ per seal</v>
      </c>
      <c r="K235" s="268">
        <f>I235</f>
        <v>0</v>
      </c>
      <c r="L235" s="82"/>
      <c r="M235" s="268">
        <f>K235</f>
        <v>0</v>
      </c>
      <c r="N235" s="82"/>
      <c r="O235" s="268">
        <f>K235</f>
        <v>0</v>
      </c>
      <c r="P235" s="89"/>
      <c r="Q235" s="298"/>
      <c r="R235" s="84" t="str">
        <f>IF(OR(T$30=$B$10,T$30=$B$11,T$30=$B$13,T$30=$B$14,T$30=$B$15,T$30=$B$16,T$30=$B$17,T$30=$B$18,T$30=$B$19,T$30=$B$20,T$30=$B$21,T$30=$B$22),"Required","Not Required")</f>
        <v>Required</v>
      </c>
      <c r="S235" s="89"/>
      <c r="T235" s="90">
        <f>IF(R235="Not Required",0,IF(UnitsOfMeasure="Metric",K235,K235*ExchangeRate))</f>
        <v>0</v>
      </c>
      <c r="U235" s="91" t="s">
        <v>251</v>
      </c>
      <c r="V235" s="50"/>
      <c r="W235" s="90">
        <f>IF(R235="Not Required",0,IF(UnitsOfMeasure="Imperial",K235,K235/ExchangeRate))</f>
        <v>0</v>
      </c>
      <c r="X235" s="91" t="s">
        <v>205</v>
      </c>
      <c r="Y235" s="87"/>
      <c r="Z235" s="88"/>
      <c r="AA235" s="84" t="str">
        <f>IF(OR(AC$30=$B$10,AC$30=$B$11,AC$30=$B$13,AC$30=$B$14,AC$30=$B$15,AC$30=$B$16,AC$30=$B$17,AC$30=$B$18,AC$30=$B$19,AC$30=$B$20,AC$30=$B$21,AC$30=$B$22),"Required","Not Required")</f>
        <v>Not Required</v>
      </c>
      <c r="AB235" s="89"/>
      <c r="AC235" s="90">
        <f>IF(AA235="Not Required",0,IF(UnitsOfMeasure="Metric",M235,M235*ExchangeRate))</f>
        <v>0</v>
      </c>
      <c r="AD235" s="91" t="s">
        <v>251</v>
      </c>
      <c r="AE235" s="50"/>
      <c r="AF235" s="90">
        <f>IF(AA235="Not Required",0,IF(UnitsOfMeasure="Imperial",M235,M235/ExchangeRate))</f>
        <v>0</v>
      </c>
      <c r="AG235" s="91" t="s">
        <v>205</v>
      </c>
      <c r="AH235" s="87"/>
      <c r="AI235" s="88"/>
      <c r="AJ235" s="84" t="str">
        <f>IF(OR(AL$30=$B$10,AL$30=$B$11,AL$30=$B$13,AL$30=$B$14,AL$30=$B$15,AL$30=$B$16,AL$30=$B$17,AL$30=$B$18,AL$30=$B$19,AL$30=$B$20,AL$30=$B$21,AL$30=$B$22),"Required","Not Required")</f>
        <v>Not Required</v>
      </c>
      <c r="AK235" s="89"/>
      <c r="AL235" s="90">
        <f>IF(AJ235="Not Required",0,IF(UnitsOfMeasure="Metric",O235,O235*ExchangeRate))</f>
        <v>0</v>
      </c>
      <c r="AM235" s="91" t="s">
        <v>251</v>
      </c>
      <c r="AN235" s="50"/>
      <c r="AO235" s="90">
        <f>IF(AJ235="Not Required",0,IF(UnitsOfMeasure="Imperial",O235,O235/ExchangeRate))</f>
        <v>0</v>
      </c>
      <c r="AP235" s="91" t="s">
        <v>205</v>
      </c>
      <c r="AQ235" s="87"/>
      <c r="AR235" s="92"/>
      <c r="AS235" s="80" t="s">
        <v>271</v>
      </c>
    </row>
    <row r="236" spans="1:45" ht="3.75" customHeight="1" x14ac:dyDescent="0.2">
      <c r="B236" s="50"/>
      <c r="C236" s="50"/>
      <c r="D236" s="50"/>
      <c r="E236" s="50"/>
      <c r="F236" s="50"/>
      <c r="G236" s="50"/>
      <c r="H236" s="50"/>
      <c r="I236" s="96"/>
      <c r="J236" s="97"/>
      <c r="K236" s="43"/>
      <c r="P236" s="89"/>
      <c r="Q236" s="298"/>
      <c r="R236" s="89"/>
      <c r="S236" s="89"/>
      <c r="Y236" s="87"/>
      <c r="Z236" s="88"/>
      <c r="AA236" s="89"/>
      <c r="AB236" s="89"/>
      <c r="AC236" s="58"/>
      <c r="AH236" s="87"/>
      <c r="AI236" s="88"/>
      <c r="AJ236" s="89"/>
      <c r="AK236" s="89"/>
      <c r="AL236" s="58"/>
      <c r="AQ236" s="87"/>
      <c r="AR236" s="92"/>
      <c r="AS236" s="81"/>
    </row>
    <row r="237" spans="1:45" x14ac:dyDescent="0.2">
      <c r="B237" s="50"/>
      <c r="C237" s="50" t="s">
        <v>244</v>
      </c>
      <c r="D237" s="50"/>
      <c r="E237" s="50"/>
      <c r="F237" s="50"/>
      <c r="G237" s="50"/>
      <c r="H237" s="50"/>
      <c r="I237" s="96">
        <v>0</v>
      </c>
      <c r="J237" s="97" t="s">
        <v>649</v>
      </c>
      <c r="K237" s="125">
        <f>I237</f>
        <v>0</v>
      </c>
      <c r="L237" s="126"/>
      <c r="M237" s="125">
        <f>K237</f>
        <v>0</v>
      </c>
      <c r="N237" s="126"/>
      <c r="O237" s="125">
        <f>K237</f>
        <v>0</v>
      </c>
      <c r="P237" s="89"/>
      <c r="Q237" s="298"/>
      <c r="R237" s="84" t="s">
        <v>272</v>
      </c>
      <c r="S237" s="89"/>
      <c r="T237" s="90">
        <f>IF(R237="Not Required",0,K237)</f>
        <v>0</v>
      </c>
      <c r="U237" s="91" t="s">
        <v>245</v>
      </c>
      <c r="V237" s="50"/>
      <c r="W237" s="90">
        <f>IF(R237="Not Required",0,K237*$U$18)</f>
        <v>0</v>
      </c>
      <c r="X237" s="91" t="s">
        <v>269</v>
      </c>
      <c r="Y237" s="87"/>
      <c r="Z237" s="88"/>
      <c r="AA237" s="84" t="s">
        <v>272</v>
      </c>
      <c r="AB237" s="89"/>
      <c r="AC237" s="90">
        <f>IF(AA237="Not Required",0,M237)</f>
        <v>0</v>
      </c>
      <c r="AD237" s="91" t="s">
        <v>245</v>
      </c>
      <c r="AE237" s="50"/>
      <c r="AF237" s="90">
        <f>IF(AA237="Not Required",0,M237*$U$18)</f>
        <v>0</v>
      </c>
      <c r="AG237" s="91" t="s">
        <v>269</v>
      </c>
      <c r="AH237" s="87"/>
      <c r="AI237" s="88"/>
      <c r="AJ237" s="84" t="s">
        <v>272</v>
      </c>
      <c r="AK237" s="89"/>
      <c r="AL237" s="90">
        <f>IF(AJ237="Not Required",0,O237)</f>
        <v>0</v>
      </c>
      <c r="AM237" s="91" t="s">
        <v>245</v>
      </c>
      <c r="AN237" s="50"/>
      <c r="AO237" s="90">
        <f>IF(AJ237="Not Required",0,O237*$U$18)</f>
        <v>0</v>
      </c>
      <c r="AP237" s="91" t="s">
        <v>269</v>
      </c>
      <c r="AQ237" s="87"/>
      <c r="AR237" s="92"/>
      <c r="AS237" s="80" t="s">
        <v>273</v>
      </c>
    </row>
    <row r="238" spans="1:45" x14ac:dyDescent="0.2">
      <c r="K238" s="43"/>
      <c r="P238" s="89"/>
      <c r="Q238" s="298"/>
      <c r="T238" s="43"/>
      <c r="Y238" s="87"/>
      <c r="Z238" s="88"/>
      <c r="AH238" s="87"/>
      <c r="AI238" s="88"/>
      <c r="AQ238" s="87"/>
      <c r="AR238" s="88"/>
      <c r="AS238" s="81"/>
    </row>
    <row r="239" spans="1:45" x14ac:dyDescent="0.2">
      <c r="P239" s="89"/>
      <c r="Q239" s="298"/>
      <c r="R239" s="89"/>
      <c r="S239" s="89"/>
      <c r="T239" s="108"/>
      <c r="U239" s="89"/>
      <c r="V239" s="85"/>
      <c r="W239" s="108"/>
      <c r="X239" s="89"/>
      <c r="Y239" s="87"/>
      <c r="Z239" s="88"/>
      <c r="AA239" s="89"/>
      <c r="AB239" s="89"/>
      <c r="AC239" s="108"/>
      <c r="AD239" s="89"/>
      <c r="AE239" s="85"/>
      <c r="AF239" s="108"/>
      <c r="AG239" s="89"/>
      <c r="AH239" s="87"/>
      <c r="AI239" s="88"/>
      <c r="AJ239" s="89"/>
      <c r="AK239" s="89"/>
      <c r="AL239" s="108"/>
      <c r="AM239" s="89"/>
      <c r="AN239" s="85"/>
      <c r="AO239" s="108"/>
      <c r="AP239" s="89"/>
      <c r="AQ239" s="87"/>
      <c r="AR239" s="88"/>
      <c r="AS239" s="93"/>
    </row>
    <row r="240" spans="1:45" x14ac:dyDescent="0.2">
      <c r="P240" s="89"/>
      <c r="Q240" s="298"/>
      <c r="R240" s="89"/>
      <c r="S240" s="89"/>
      <c r="T240" s="109"/>
      <c r="U240" s="65"/>
      <c r="V240" s="65"/>
      <c r="W240" s="65"/>
      <c r="X240" s="65"/>
      <c r="Y240" s="87"/>
      <c r="Z240" s="88"/>
      <c r="AA240" s="89"/>
      <c r="AB240" s="89"/>
      <c r="AC240" s="65"/>
      <c r="AD240" s="65"/>
      <c r="AE240" s="65"/>
      <c r="AF240" s="65"/>
      <c r="AG240" s="65"/>
      <c r="AH240" s="87"/>
      <c r="AI240" s="88"/>
      <c r="AJ240" s="89"/>
      <c r="AK240" s="89"/>
      <c r="AL240" s="65"/>
      <c r="AM240" s="65"/>
      <c r="AN240" s="65"/>
      <c r="AO240" s="65"/>
      <c r="AP240" s="65"/>
      <c r="AQ240" s="87"/>
      <c r="AR240" s="88"/>
      <c r="AS240" s="93"/>
    </row>
    <row r="241" spans="1:45" ht="75.75" customHeight="1" x14ac:dyDescent="0.2">
      <c r="P241" s="89"/>
      <c r="Q241" s="298"/>
      <c r="R241" s="89"/>
      <c r="S241" s="89"/>
      <c r="T241" s="108"/>
      <c r="U241" s="89"/>
      <c r="V241" s="85"/>
      <c r="W241" s="108"/>
      <c r="X241" s="89"/>
      <c r="Y241" s="87"/>
      <c r="Z241" s="88"/>
      <c r="AA241" s="89"/>
      <c r="AB241" s="89"/>
      <c r="AC241" s="108"/>
      <c r="AD241" s="89"/>
      <c r="AE241" s="85"/>
      <c r="AF241" s="108"/>
      <c r="AG241" s="89"/>
      <c r="AH241" s="87"/>
      <c r="AI241" s="88"/>
      <c r="AJ241" s="89"/>
      <c r="AK241" s="89"/>
      <c r="AL241" s="108"/>
      <c r="AM241" s="89"/>
      <c r="AN241" s="85"/>
      <c r="AO241" s="108"/>
      <c r="AP241" s="89"/>
      <c r="AQ241" s="87"/>
      <c r="AR241" s="88"/>
      <c r="AS241" s="93"/>
    </row>
    <row r="242" spans="1:45" ht="30" x14ac:dyDescent="0.2">
      <c r="A242" s="52" t="s">
        <v>80</v>
      </c>
      <c r="P242" s="89"/>
      <c r="Q242" s="298"/>
      <c r="R242" s="89"/>
      <c r="S242" s="89"/>
      <c r="T242" s="109"/>
      <c r="U242" s="65"/>
      <c r="V242" s="65"/>
      <c r="W242" s="65"/>
      <c r="X242" s="65"/>
      <c r="Y242" s="87"/>
      <c r="Z242" s="88"/>
      <c r="AA242" s="89"/>
      <c r="AB242" s="89"/>
      <c r="AC242" s="65"/>
      <c r="AD242" s="65"/>
      <c r="AE242" s="65"/>
      <c r="AF242" s="65"/>
      <c r="AG242" s="65"/>
      <c r="AH242" s="87"/>
      <c r="AI242" s="88"/>
      <c r="AJ242" s="89"/>
      <c r="AK242" s="89"/>
      <c r="AL242" s="65"/>
      <c r="AM242" s="65"/>
      <c r="AN242" s="65"/>
      <c r="AO242" s="65"/>
      <c r="AP242" s="65"/>
      <c r="AQ242" s="87"/>
      <c r="AR242" s="88"/>
      <c r="AS242" s="93"/>
    </row>
    <row r="243" spans="1:45" x14ac:dyDescent="0.2">
      <c r="P243" s="89"/>
      <c r="Q243" s="298"/>
      <c r="R243" s="89"/>
      <c r="S243" s="89"/>
      <c r="T243" s="108"/>
      <c r="U243" s="89"/>
      <c r="V243" s="85"/>
      <c r="W243" s="108"/>
      <c r="X243" s="89"/>
      <c r="Y243" s="87"/>
      <c r="Z243" s="88"/>
      <c r="AA243" s="89"/>
      <c r="AB243" s="89"/>
      <c r="AC243" s="108"/>
      <c r="AD243" s="89"/>
      <c r="AE243" s="85"/>
      <c r="AF243" s="108"/>
      <c r="AG243" s="89"/>
      <c r="AH243" s="87"/>
      <c r="AI243" s="88"/>
      <c r="AJ243" s="89"/>
      <c r="AK243" s="89"/>
      <c r="AL243" s="108"/>
      <c r="AM243" s="89"/>
      <c r="AN243" s="85"/>
      <c r="AO243" s="108"/>
      <c r="AP243" s="89"/>
      <c r="AQ243" s="87"/>
      <c r="AR243" s="88"/>
      <c r="AS243" s="93"/>
    </row>
    <row r="244" spans="1:45" ht="18" x14ac:dyDescent="0.2">
      <c r="A244" s="55" t="s">
        <v>281</v>
      </c>
      <c r="P244" s="89"/>
      <c r="Q244" s="298"/>
      <c r="R244" s="89"/>
      <c r="S244" s="65"/>
      <c r="T244" s="109"/>
      <c r="U244" s="109"/>
      <c r="V244" s="109"/>
      <c r="W244" s="109"/>
      <c r="X244" s="109"/>
      <c r="Y244" s="87"/>
      <c r="Z244" s="88"/>
      <c r="AA244" s="89"/>
      <c r="AB244" s="65"/>
      <c r="AC244" s="65"/>
      <c r="AD244" s="65"/>
      <c r="AE244" s="65"/>
      <c r="AF244" s="65"/>
      <c r="AG244" s="65"/>
      <c r="AH244" s="87"/>
      <c r="AI244" s="88"/>
      <c r="AJ244" s="89"/>
      <c r="AK244" s="65"/>
      <c r="AL244" s="65"/>
      <c r="AM244" s="65"/>
      <c r="AN244" s="65"/>
      <c r="AO244" s="65"/>
      <c r="AP244" s="65"/>
      <c r="AQ244" s="87"/>
      <c r="AR244" s="88"/>
      <c r="AS244" s="93"/>
    </row>
    <row r="245" spans="1:45" ht="24.75" customHeight="1" thickBot="1" x14ac:dyDescent="0.25">
      <c r="F245" s="110"/>
      <c r="G245" s="111"/>
      <c r="H245" s="112" t="s">
        <v>295</v>
      </c>
      <c r="I245" s="113" t="str">
        <f>IF(UnitsOfMeasure="Metric","€","$")</f>
        <v>$</v>
      </c>
      <c r="K245" s="114" t="str">
        <f>K30</f>
        <v>Sgl/23</v>
      </c>
      <c r="M245" s="114" t="str">
        <f>M30</f>
        <v>Sgl/32</v>
      </c>
      <c r="O245" s="114" t="str">
        <f>O30</f>
        <v>Packing</v>
      </c>
      <c r="P245" s="89"/>
      <c r="Q245" s="298"/>
      <c r="R245" s="89"/>
      <c r="S245" s="89"/>
      <c r="T245" s="109"/>
      <c r="U245" s="109"/>
      <c r="V245" s="109"/>
      <c r="W245" s="109"/>
      <c r="X245" s="109"/>
      <c r="Y245" s="87"/>
      <c r="Z245" s="88"/>
      <c r="AA245" s="89"/>
      <c r="AB245" s="89"/>
      <c r="AC245" s="89"/>
      <c r="AD245" s="89"/>
      <c r="AE245" s="89"/>
      <c r="AF245" s="89"/>
      <c r="AG245" s="89"/>
      <c r="AH245" s="87"/>
      <c r="AI245" s="88"/>
      <c r="AJ245" s="89"/>
      <c r="AK245" s="89"/>
      <c r="AL245" s="89"/>
      <c r="AM245" s="89"/>
      <c r="AN245" s="89"/>
      <c r="AO245" s="89"/>
      <c r="AP245" s="89"/>
      <c r="AQ245" s="87"/>
      <c r="AR245" s="88"/>
      <c r="AS245" s="81"/>
    </row>
    <row r="246" spans="1:45" ht="15.75" thickTop="1" thickBot="1" x14ac:dyDescent="0.25">
      <c r="B246" s="68"/>
      <c r="C246" s="68"/>
      <c r="D246" s="68"/>
      <c r="E246" s="68"/>
      <c r="F246" s="68"/>
      <c r="G246" s="68"/>
      <c r="H246" s="68"/>
      <c r="I246" s="69"/>
      <c r="J246" s="70"/>
      <c r="K246" s="71"/>
      <c r="L246" s="72"/>
      <c r="M246" s="71"/>
      <c r="N246" s="72"/>
      <c r="O246" s="71"/>
      <c r="P246" s="89"/>
      <c r="Q246" s="298"/>
      <c r="R246" s="89"/>
      <c r="S246" s="89"/>
      <c r="T246" s="109"/>
      <c r="U246" s="109"/>
      <c r="V246" s="109"/>
      <c r="W246" s="109"/>
      <c r="X246" s="109"/>
      <c r="Y246" s="87"/>
      <c r="Z246" s="88"/>
      <c r="AA246" s="89"/>
      <c r="AB246" s="89"/>
      <c r="AC246" s="89"/>
      <c r="AD246" s="89"/>
      <c r="AE246" s="89"/>
      <c r="AF246" s="89"/>
      <c r="AG246" s="89"/>
      <c r="AH246" s="87"/>
      <c r="AI246" s="88"/>
      <c r="AJ246" s="89"/>
      <c r="AK246" s="89"/>
      <c r="AL246" s="89"/>
      <c r="AM246" s="89"/>
      <c r="AN246" s="89"/>
      <c r="AO246" s="89"/>
      <c r="AP246" s="89"/>
      <c r="AQ246" s="87"/>
      <c r="AR246" s="88"/>
      <c r="AS246" s="81"/>
    </row>
    <row r="247" spans="1:45" ht="24.75" customHeight="1" x14ac:dyDescent="0.2">
      <c r="B247" s="73" t="s">
        <v>285</v>
      </c>
      <c r="C247" s="74"/>
      <c r="D247" s="74"/>
      <c r="E247" s="74"/>
      <c r="F247" s="74"/>
      <c r="G247" s="74"/>
      <c r="H247" s="74"/>
      <c r="I247" s="75"/>
      <c r="J247" s="76"/>
      <c r="K247" s="77"/>
      <c r="L247" s="78"/>
      <c r="M247" s="77"/>
      <c r="N247" s="79"/>
      <c r="O247" s="77"/>
      <c r="P247" s="89"/>
      <c r="Q247" s="298"/>
      <c r="R247" s="89"/>
      <c r="S247" s="89"/>
      <c r="T247" s="109"/>
      <c r="U247" s="109"/>
      <c r="V247" s="109"/>
      <c r="W247" s="109"/>
      <c r="X247" s="109"/>
      <c r="Y247" s="87"/>
      <c r="Z247" s="88"/>
      <c r="AA247" s="89"/>
      <c r="AB247" s="89"/>
      <c r="AC247" s="89"/>
      <c r="AD247" s="89"/>
      <c r="AE247" s="89"/>
      <c r="AF247" s="89"/>
      <c r="AG247" s="89"/>
      <c r="AH247" s="87"/>
      <c r="AI247" s="88"/>
      <c r="AJ247" s="89"/>
      <c r="AK247" s="89"/>
      <c r="AL247" s="89"/>
      <c r="AM247" s="89"/>
      <c r="AN247" s="89"/>
      <c r="AO247" s="89"/>
      <c r="AP247" s="89"/>
      <c r="AQ247" s="87"/>
      <c r="AR247" s="88"/>
      <c r="AS247" s="81"/>
    </row>
    <row r="248" spans="1:45" ht="17.25" x14ac:dyDescent="0.2">
      <c r="C248" s="107" t="s">
        <v>296</v>
      </c>
      <c r="P248" s="89"/>
      <c r="Q248" s="298"/>
      <c r="R248" s="89"/>
      <c r="S248" s="89"/>
      <c r="T248" s="109"/>
      <c r="U248" s="109"/>
      <c r="V248" s="109"/>
      <c r="W248" s="109"/>
      <c r="X248" s="109"/>
      <c r="Y248" s="87"/>
      <c r="Z248" s="88"/>
      <c r="AA248" s="89"/>
      <c r="AB248" s="89"/>
      <c r="AC248" s="89"/>
      <c r="AD248" s="89"/>
      <c r="AE248" s="89"/>
      <c r="AF248" s="89"/>
      <c r="AG248" s="89"/>
      <c r="AH248" s="87"/>
      <c r="AI248" s="88"/>
      <c r="AJ248" s="89"/>
      <c r="AK248" s="89"/>
      <c r="AL248" s="89"/>
      <c r="AM248" s="89"/>
      <c r="AN248" s="89"/>
      <c r="AO248" s="89"/>
      <c r="AP248" s="89"/>
      <c r="AQ248" s="87"/>
      <c r="AR248" s="88"/>
      <c r="AS248" s="81"/>
    </row>
    <row r="249" spans="1:45" x14ac:dyDescent="0.2">
      <c r="D249" s="43" t="s">
        <v>286</v>
      </c>
      <c r="J249" s="97"/>
      <c r="P249" s="89"/>
      <c r="Q249" s="298"/>
      <c r="R249" s="89"/>
      <c r="S249" s="89"/>
      <c r="T249" s="109"/>
      <c r="U249" s="109"/>
      <c r="V249" s="109"/>
      <c r="W249" s="109"/>
      <c r="X249" s="109"/>
      <c r="Y249" s="87"/>
      <c r="Z249" s="88"/>
      <c r="AA249" s="89"/>
      <c r="AB249" s="89"/>
      <c r="AH249" s="87"/>
      <c r="AI249" s="88"/>
      <c r="AJ249" s="89"/>
      <c r="AK249" s="89"/>
      <c r="AQ249" s="87"/>
      <c r="AR249" s="88"/>
      <c r="AS249" s="80"/>
    </row>
    <row r="250" spans="1:45" x14ac:dyDescent="0.2">
      <c r="H250" s="45" t="s">
        <v>287</v>
      </c>
      <c r="J250" s="96" t="str">
        <f>IF(UnitsOfMeasure="Metric","€ / year","$ / year")</f>
        <v>$ / year</v>
      </c>
      <c r="K250" s="115">
        <f>IF(UnitsOfMeasure="Metric",T250,W250)</f>
        <v>0</v>
      </c>
      <c r="M250" s="115">
        <f>IF(UnitsOfMeasure="Metric",AC250,AF250)</f>
        <v>459.9</v>
      </c>
      <c r="O250" s="115">
        <f>IF(UnitsOfMeasure="Metric",AL250,AO250)</f>
        <v>26.28</v>
      </c>
      <c r="P250" s="89"/>
      <c r="Q250" s="298"/>
      <c r="R250" s="89"/>
      <c r="S250" s="89"/>
      <c r="T250" s="94">
        <f>IF(T30=$B$23,T63*T51*T53*24*60*T133/1000,T63*T51*T53*24*60*T189/1000)</f>
        <v>0</v>
      </c>
      <c r="U250" s="95" t="s">
        <v>455</v>
      </c>
      <c r="V250" s="50"/>
      <c r="W250" s="94">
        <f>IF(T30=$B$23,W63*W51*W53*24*60*W133/1000,W63*W51*W53*24*60*W189/1000)</f>
        <v>0</v>
      </c>
      <c r="X250" s="95" t="s">
        <v>454</v>
      </c>
      <c r="Y250" s="87"/>
      <c r="Z250" s="88"/>
      <c r="AA250" s="89"/>
      <c r="AB250" s="89"/>
      <c r="AC250" s="94">
        <f>IF(AC30=$B$23,AC63*AC51*AC53*24*60*AC133/1000,AC63*AC51*AC53*24*60*AC189/1000)</f>
        <v>345.61484999999999</v>
      </c>
      <c r="AD250" s="95" t="s">
        <v>455</v>
      </c>
      <c r="AE250" s="50"/>
      <c r="AF250" s="94">
        <f>IF(AC30=$B$23,AF63*AF51*AF53*24*60*AF133/1000,AF63*AF51*AF53*24*60*AF189/1000)</f>
        <v>459.9</v>
      </c>
      <c r="AG250" s="95" t="s">
        <v>454</v>
      </c>
      <c r="AH250" s="87"/>
      <c r="AI250" s="88"/>
      <c r="AJ250" s="89"/>
      <c r="AK250" s="89"/>
      <c r="AL250" s="94">
        <f>IF(AL30=$B$23,AL63*AL51*AL53*24*60*AL133/1000,AL63*AL51*AL53*24*60*AL189/1000)</f>
        <v>19.749419999999997</v>
      </c>
      <c r="AM250" s="95" t="s">
        <v>455</v>
      </c>
      <c r="AN250" s="50"/>
      <c r="AO250" s="94">
        <f>IF(AL30=$B$23,AO63*AO51*AO53*24*60*AO133/1000,AO63*AO51*AO53*24*60*AO189/1000)</f>
        <v>26.28</v>
      </c>
      <c r="AP250" s="95" t="s">
        <v>454</v>
      </c>
      <c r="AQ250" s="87"/>
      <c r="AR250" s="88"/>
      <c r="AS250" s="80"/>
    </row>
    <row r="251" spans="1:45" ht="3" customHeight="1" x14ac:dyDescent="0.2">
      <c r="H251" s="45"/>
      <c r="J251" s="97"/>
      <c r="P251" s="89"/>
      <c r="Q251" s="298"/>
      <c r="R251" s="89"/>
      <c r="S251" s="89"/>
      <c r="W251" s="58"/>
      <c r="Y251" s="87"/>
      <c r="Z251" s="88"/>
      <c r="AA251" s="89"/>
      <c r="AB251" s="89"/>
      <c r="AC251" s="58"/>
      <c r="AF251" s="58"/>
      <c r="AH251" s="87"/>
      <c r="AI251" s="88"/>
      <c r="AJ251" s="89"/>
      <c r="AK251" s="89"/>
      <c r="AL251" s="58"/>
      <c r="AO251" s="58"/>
      <c r="AQ251" s="87"/>
      <c r="AR251" s="88"/>
      <c r="AS251" s="81"/>
    </row>
    <row r="252" spans="1:45" x14ac:dyDescent="0.2">
      <c r="H252" s="45" t="s">
        <v>288</v>
      </c>
      <c r="J252" s="96" t="str">
        <f>IF(UnitsOfMeasure="Metric","€ / year","$ / year")</f>
        <v>$ / year</v>
      </c>
      <c r="K252" s="115">
        <f>IF(UnitsOfMeasure="Metric",T252,W252)</f>
        <v>0</v>
      </c>
      <c r="M252" s="115">
        <f>IF(UnitsOfMeasure="Metric",AC252,AF252)</f>
        <v>0</v>
      </c>
      <c r="O252" s="115">
        <f>IF(UnitsOfMeasure="Metric",AL252,AO252)</f>
        <v>0</v>
      </c>
      <c r="P252" s="89"/>
      <c r="Q252" s="298"/>
      <c r="R252" s="89"/>
      <c r="S252" s="89"/>
      <c r="T252" s="94">
        <f>T65*T51*T53*24*60*T211/1000</f>
        <v>0</v>
      </c>
      <c r="U252" s="95" t="s">
        <v>455</v>
      </c>
      <c r="V252" s="50"/>
      <c r="W252" s="94">
        <f>W65*W51*W53*24*60*W211/1000</f>
        <v>0</v>
      </c>
      <c r="X252" s="95" t="s">
        <v>454</v>
      </c>
      <c r="Y252" s="87"/>
      <c r="Z252" s="88"/>
      <c r="AA252" s="89"/>
      <c r="AB252" s="89"/>
      <c r="AC252" s="94">
        <f>AC65*AC51*AC53*24*60*AC211/1000</f>
        <v>0</v>
      </c>
      <c r="AD252" s="95" t="s">
        <v>455</v>
      </c>
      <c r="AE252" s="50"/>
      <c r="AF252" s="94">
        <f>AF65*AF51*AF53*24*60*AF211/1000</f>
        <v>0</v>
      </c>
      <c r="AG252" s="95" t="s">
        <v>454</v>
      </c>
      <c r="AH252" s="87"/>
      <c r="AI252" s="88"/>
      <c r="AJ252" s="89"/>
      <c r="AK252" s="89"/>
      <c r="AL252" s="94">
        <f>AL65*AL51*AL53*24*60*AL211/1000</f>
        <v>0</v>
      </c>
      <c r="AM252" s="95" t="s">
        <v>455</v>
      </c>
      <c r="AN252" s="50"/>
      <c r="AO252" s="94">
        <f>AO65*AO51*AO53*24*60*AO211/1000</f>
        <v>0</v>
      </c>
      <c r="AP252" s="95" t="s">
        <v>454</v>
      </c>
      <c r="AQ252" s="87"/>
      <c r="AR252" s="88"/>
      <c r="AS252" s="80"/>
    </row>
    <row r="253" spans="1:45" ht="3" customHeight="1" x14ac:dyDescent="0.2">
      <c r="H253" s="45"/>
      <c r="J253" s="97"/>
      <c r="P253" s="89"/>
      <c r="Q253" s="298"/>
      <c r="R253" s="89"/>
      <c r="S253" s="89"/>
      <c r="W253" s="58"/>
      <c r="Y253" s="87"/>
      <c r="Z253" s="88"/>
      <c r="AA253" s="89"/>
      <c r="AB253" s="89"/>
      <c r="AC253" s="58"/>
      <c r="AF253" s="58"/>
      <c r="AH253" s="87"/>
      <c r="AI253" s="88"/>
      <c r="AJ253" s="89"/>
      <c r="AK253" s="89"/>
      <c r="AL253" s="58"/>
      <c r="AO253" s="58"/>
      <c r="AQ253" s="87"/>
      <c r="AR253" s="88"/>
      <c r="AS253" s="81"/>
    </row>
    <row r="254" spans="1:45" x14ac:dyDescent="0.2">
      <c r="H254" s="45" t="s">
        <v>289</v>
      </c>
      <c r="J254" s="96" t="str">
        <f>IF(UnitsOfMeasure="Metric","€ / year","$ / year")</f>
        <v>$ / year</v>
      </c>
      <c r="K254" s="115">
        <f>IF(UnitsOfMeasure="Metric",T254,W254)</f>
        <v>0</v>
      </c>
      <c r="M254" s="115">
        <f>IF(UnitsOfMeasure="Metric",AC254,AF254)</f>
        <v>0</v>
      </c>
      <c r="O254" s="115">
        <f>IF(UnitsOfMeasure="Metric",AL254,AO254)</f>
        <v>2102.4</v>
      </c>
      <c r="P254" s="89"/>
      <c r="Q254" s="298"/>
      <c r="R254" s="89"/>
      <c r="S254" s="89"/>
      <c r="T254" s="94">
        <f>IF(T30=$B$23,T87*T51*T53*24*60*T133*(1-T149)/1000,IF(OR(T30=$B$6,T30=$B$8,T30=$B$10,T30=$B$11,T30=$B$12,T30=$B$13,T30=$B$14,T30=$B$15,T30=$B$17,T30=$B$18,T30=$B$21),T87*T51*T53*24*60*T187/1000,IF(OR(T30=$B$7,T30=$B$9),T87*T51*T53*24*60*(T187+T211)/1000,0)))</f>
        <v>0</v>
      </c>
      <c r="U254" s="95" t="s">
        <v>455</v>
      </c>
      <c r="V254" s="50"/>
      <c r="W254" s="94">
        <f>IF(T30=$B$23,W87*W51*W53*24*60*W133*(1-W149)/1000,IF(OR(T30=$B$6,T30=$B$8,T30=$B$10,T30=$B$11,T30=$B$12,T30=$B$13,T30=$B$14,T30=$B$15,T30=$B$17,T30=$B$18,T30=$B$21),W87*W51*W53*24*60*W187/1000,IF(OR(T30=$B$7,T30=$B$9),W87*W51*W53*24*60*(W187+W211)/1000,0)))</f>
        <v>0</v>
      </c>
      <c r="X254" s="95" t="s">
        <v>454</v>
      </c>
      <c r="Y254" s="87"/>
      <c r="Z254" s="88"/>
      <c r="AA254" s="89"/>
      <c r="AB254" s="89"/>
      <c r="AC254" s="94">
        <f>IF(AC30=$B$23,AC87*AC51*AC53*24*60*AC133*(1-AC149)/1000,IF(OR(AC30=$B$6,AC30=$B$8,AC30=$B$10,AC30=$B$11,AC30=$B$12,AC30=$B$13,AC30=$B$14,AC30=$B$15,AC30=$B$17,AC30=$B$18,AC30=$B$21),AC87*AC51*AC53*24*60*AC187/1000,IF(OR(AC30=$B$7,AC30=$B$9),AC87*AC51*AC53*24*60*(AC187+AC211)/1000,0)))</f>
        <v>0</v>
      </c>
      <c r="AD254" s="95" t="s">
        <v>455</v>
      </c>
      <c r="AE254" s="50"/>
      <c r="AF254" s="94">
        <f>IF(AC30=$B$23,AF87*AF51*AF53*24*60*AF133*(1-AF149)/1000,IF(OR(AC30=$B$6,AC30=$B$8,AC30=$B$10,AC30=$B$11,AC30=$B$12,AC30=$B$13,AC30=$B$14,AC30=$B$15,AC30=$B$17,AC30=$B$18,AC30=$B$21),AF87*AF51*AF53*24*60*AF187/1000,IF(OR(AC30=$B$7,AC30=$B$9),AF87*AF51*AF53*24*60*(AF187+AF211)/1000,0)))</f>
        <v>0</v>
      </c>
      <c r="AG254" s="95" t="s">
        <v>454</v>
      </c>
      <c r="AH254" s="87"/>
      <c r="AI254" s="88"/>
      <c r="AJ254" s="89"/>
      <c r="AK254" s="89"/>
      <c r="AL254" s="94">
        <f>IF(AL30=$B$23,AL87*AL51*AL53*24*60*AL133*(1-AL149)/1000,IF(OR(AL30=$B$6,AL30=$B$8,AL30=$B$10,AL30=$B$11,AL30=$B$12,AL30=$B$13,AL30=$B$14,AL30=$B$15,AL30=$B$17,AL30=$B$18,AL30=$B$21),AL87*AL51*AL53*24*60*AL187/1000,IF(OR(AL30=$B$7,AL30=$B$9),AL87*AL51*AL53*24*60*(AL187+AL211)/1000,0)))</f>
        <v>1579.9536000000001</v>
      </c>
      <c r="AM254" s="95" t="s">
        <v>455</v>
      </c>
      <c r="AN254" s="50"/>
      <c r="AO254" s="94">
        <f>IF(AL30=$B$23,AO87*AO51*AO53*24*60*AO133*(1-AO149)/1000,IF(OR(AL30=$B$6,AL30=$B$8,AL30=$B$10,AL30=$B$11,AL30=$B$12,AL30=$B$13,AL30=$B$14,AL30=$B$15,AL30=$B$17,AL30=$B$18,AL30=$B$21),AO87*AO51*AO53*24*60*AO187/1000,IF(OR(AL30=$B$7,AL30=$B$9),AO87*AO51*AO53*24*60*(AO187+AO211)/1000,0)))</f>
        <v>2102.4</v>
      </c>
      <c r="AP254" s="95" t="s">
        <v>454</v>
      </c>
      <c r="AQ254" s="87"/>
      <c r="AR254" s="88"/>
      <c r="AS254" s="293" t="s">
        <v>708</v>
      </c>
    </row>
    <row r="255" spans="1:45" ht="3" customHeight="1" x14ac:dyDescent="0.2">
      <c r="H255" s="45"/>
      <c r="J255" s="97"/>
      <c r="P255" s="89"/>
      <c r="Q255" s="298"/>
      <c r="R255" s="89"/>
      <c r="S255" s="89"/>
      <c r="W255" s="58"/>
      <c r="Y255" s="87"/>
      <c r="Z255" s="88"/>
      <c r="AA255" s="89"/>
      <c r="AB255" s="89"/>
      <c r="AC255" s="58"/>
      <c r="AF255" s="58"/>
      <c r="AH255" s="87"/>
      <c r="AI255" s="88"/>
      <c r="AJ255" s="89"/>
      <c r="AK255" s="89"/>
      <c r="AL255" s="58"/>
      <c r="AO255" s="58"/>
      <c r="AQ255" s="87"/>
      <c r="AR255" s="88"/>
      <c r="AS255" s="81"/>
    </row>
    <row r="256" spans="1:45" x14ac:dyDescent="0.2">
      <c r="H256" s="45" t="s">
        <v>290</v>
      </c>
      <c r="J256" s="96" t="str">
        <f>IF(UnitsOfMeasure="Metric","€ / year","$ / year")</f>
        <v>$ / year</v>
      </c>
      <c r="K256" s="115">
        <f>IF(UnitsOfMeasure="Metric",T256,W256)</f>
        <v>0</v>
      </c>
      <c r="M256" s="115">
        <f>IF(UnitsOfMeasure="Metric",AC256,AF256)</f>
        <v>0</v>
      </c>
      <c r="O256" s="115">
        <f>IF(UnitsOfMeasure="Metric",AL256,AO256)</f>
        <v>0</v>
      </c>
      <c r="P256" s="89"/>
      <c r="Q256" s="298"/>
      <c r="R256" s="89"/>
      <c r="S256" s="89"/>
      <c r="T256" s="94">
        <f>IF(T59="Yes",T51*T53*T61*T213*60*24/1000,0)</f>
        <v>0</v>
      </c>
      <c r="U256" s="95" t="s">
        <v>455</v>
      </c>
      <c r="V256" s="50"/>
      <c r="W256" s="94">
        <f>IF(W59="Yes",W51*W53*W61*W213*60*24/1000,0)</f>
        <v>0</v>
      </c>
      <c r="X256" s="95" t="s">
        <v>454</v>
      </c>
      <c r="Y256" s="87"/>
      <c r="Z256" s="88"/>
      <c r="AA256" s="89"/>
      <c r="AB256" s="89"/>
      <c r="AC256" s="94">
        <f>IF(AC59="Yes",AC51*AC53*AC61*AC213*60*24/1000,0)</f>
        <v>0</v>
      </c>
      <c r="AD256" s="95" t="s">
        <v>455</v>
      </c>
      <c r="AE256" s="50"/>
      <c r="AF256" s="94">
        <f>IF(AF59="Yes",AF51*AF53*AF61*AF213*60*24/1000,0)</f>
        <v>0</v>
      </c>
      <c r="AG256" s="95" t="s">
        <v>454</v>
      </c>
      <c r="AH256" s="87"/>
      <c r="AI256" s="88"/>
      <c r="AJ256" s="89"/>
      <c r="AK256" s="89"/>
      <c r="AL256" s="94">
        <f>IF(AL59="Yes",AL51*AL53*AL61*AL213*60*24/1000,0)</f>
        <v>0</v>
      </c>
      <c r="AM256" s="95" t="s">
        <v>455</v>
      </c>
      <c r="AN256" s="50"/>
      <c r="AO256" s="94">
        <f>IF(AO59="Yes",AO51*AO53*AO61*AO213*60*24/1000,0)</f>
        <v>0</v>
      </c>
      <c r="AP256" s="95" t="s">
        <v>454</v>
      </c>
      <c r="AQ256" s="87"/>
      <c r="AR256" s="88"/>
      <c r="AS256" s="80"/>
    </row>
    <row r="257" spans="1:45" ht="3" customHeight="1" x14ac:dyDescent="0.2">
      <c r="H257" s="45"/>
      <c r="J257" s="97"/>
      <c r="P257" s="89"/>
      <c r="Q257" s="298"/>
      <c r="R257" s="89"/>
      <c r="S257" s="89"/>
      <c r="W257" s="58"/>
      <c r="Y257" s="87"/>
      <c r="Z257" s="88"/>
      <c r="AA257" s="89"/>
      <c r="AB257" s="89"/>
      <c r="AC257" s="58"/>
      <c r="AF257" s="58"/>
      <c r="AH257" s="87"/>
      <c r="AI257" s="88"/>
      <c r="AJ257" s="89"/>
      <c r="AK257" s="89"/>
      <c r="AL257" s="58"/>
      <c r="AO257" s="58"/>
      <c r="AQ257" s="87"/>
      <c r="AR257" s="88"/>
      <c r="AS257" s="81"/>
    </row>
    <row r="258" spans="1:45" x14ac:dyDescent="0.2">
      <c r="H258" s="45" t="s">
        <v>291</v>
      </c>
      <c r="J258" s="96" t="str">
        <f>IF(UnitsOfMeasure="Metric","€ / year","$ / year")</f>
        <v>$ / year</v>
      </c>
      <c r="K258" s="115">
        <f>IF(UnitsOfMeasure="Metric",T258,W258)</f>
        <v>0</v>
      </c>
      <c r="M258" s="115">
        <f>IF(UnitsOfMeasure="Metric",AC258,AF258)</f>
        <v>0</v>
      </c>
      <c r="O258" s="115">
        <f>IF(UnitsOfMeasure="Metric",AL258,AO258)</f>
        <v>0</v>
      </c>
      <c r="P258" s="89"/>
      <c r="Q258" s="298"/>
      <c r="R258" s="89"/>
      <c r="S258" s="89"/>
      <c r="T258" s="94">
        <f>IF(OR(T30=$B$16,T30=$B$18,T30=$B$20,T30=$B$21,T30=$B$22),T51*T53*T71*T223*60*24/1000,0)</f>
        <v>0</v>
      </c>
      <c r="U258" s="95" t="s">
        <v>455</v>
      </c>
      <c r="V258" s="50"/>
      <c r="W258" s="94">
        <f>IF(OR(T30=$B$16,T30=$B$18,T30=$B$20,T30=$B$21,T30=$B$22),W51*W53*W71*W223*60*24,0)</f>
        <v>0</v>
      </c>
      <c r="X258" s="95" t="s">
        <v>454</v>
      </c>
      <c r="Y258" s="87"/>
      <c r="Z258" s="88"/>
      <c r="AA258" s="89"/>
      <c r="AB258" s="89"/>
      <c r="AC258" s="94">
        <f>IF(OR(AC30=$B$16,AC30=$B$18,AC30=$B$20,AC30=$B$21,AC30=$B$22),AC51*AC53*AC71*AC223*60*24/1000,0)</f>
        <v>0</v>
      </c>
      <c r="AD258" s="95" t="s">
        <v>455</v>
      </c>
      <c r="AE258" s="50"/>
      <c r="AF258" s="94">
        <f>IF(OR(AC30=$B$16,AC30=$B$18,AC30=$B$20,AC30=$B$21,AC30=$B$22),AF51*AF53*AF71*AF223*60*24,0)</f>
        <v>0</v>
      </c>
      <c r="AG258" s="95" t="s">
        <v>454</v>
      </c>
      <c r="AH258" s="87"/>
      <c r="AI258" s="88"/>
      <c r="AJ258" s="89"/>
      <c r="AK258" s="89"/>
      <c r="AL258" s="94">
        <f>IF(OR(AL30=$B$16,AL30=$B$18,AL30=$B$20,AL30=$B$21,AL30=$B$22),AL51*AL53*AL71*AL223*60*24/1000,0)</f>
        <v>0</v>
      </c>
      <c r="AM258" s="95" t="s">
        <v>455</v>
      </c>
      <c r="AN258" s="50"/>
      <c r="AO258" s="94">
        <f>IF(OR(AL30=$B$16,AL30=$B$18,AL30=$B$20,AL30=$B$21,AL30=$B$22),AO51*AO53*AO71*AO223*60*24,0)</f>
        <v>0</v>
      </c>
      <c r="AP258" s="95" t="s">
        <v>454</v>
      </c>
      <c r="AQ258" s="87"/>
      <c r="AR258" s="88"/>
      <c r="AS258" s="80"/>
    </row>
    <row r="259" spans="1:45" ht="3" customHeight="1" x14ac:dyDescent="0.2">
      <c r="H259" s="45"/>
      <c r="J259" s="97"/>
      <c r="P259" s="89"/>
      <c r="Q259" s="298"/>
      <c r="R259" s="89"/>
      <c r="S259" s="89"/>
      <c r="W259" s="58"/>
      <c r="Y259" s="87"/>
      <c r="Z259" s="88"/>
      <c r="AA259" s="89"/>
      <c r="AB259" s="89"/>
      <c r="AC259" s="58"/>
      <c r="AF259" s="58"/>
      <c r="AH259" s="87"/>
      <c r="AI259" s="88"/>
      <c r="AJ259" s="89"/>
      <c r="AK259" s="89"/>
      <c r="AL259" s="58"/>
      <c r="AO259" s="58"/>
      <c r="AQ259" s="87"/>
      <c r="AR259" s="88"/>
      <c r="AS259" s="81"/>
    </row>
    <row r="260" spans="1:45" x14ac:dyDescent="0.2">
      <c r="H260" s="45" t="s">
        <v>292</v>
      </c>
      <c r="J260" s="96" t="str">
        <f>IF(UnitsOfMeasure="Metric","€ / year","$ / year")</f>
        <v>$ / year</v>
      </c>
      <c r="K260" s="115">
        <f>IF(UnitsOfMeasure="Metric",T260,W260)</f>
        <v>11.571959999999999</v>
      </c>
      <c r="M260" s="115">
        <f>IF(UnitsOfMeasure="Metric",AC260,AF260)</f>
        <v>11.571959999999999</v>
      </c>
      <c r="O260" s="115">
        <f>IF(UnitsOfMeasure="Metric",AL260,AO260)</f>
        <v>161.98992000000001</v>
      </c>
      <c r="P260" s="89"/>
      <c r="Q260" s="298"/>
      <c r="R260" s="89"/>
      <c r="S260" s="89"/>
      <c r="T260" s="94">
        <f>IF(NOT(OR(T30=$B$14,T30=$B$15,T30=$B$22)),T51*T53*T73*T75*24,0)</f>
        <v>8.696327939999998</v>
      </c>
      <c r="U260" s="95" t="s">
        <v>455</v>
      </c>
      <c r="V260" s="50"/>
      <c r="W260" s="94">
        <f>IF(NOT(OR(T30=$B$14,T30=$B$15,T30=$B$22)),W51*W53*W73*W75*24,0)</f>
        <v>11.571959999999999</v>
      </c>
      <c r="X260" s="95" t="s">
        <v>454</v>
      </c>
      <c r="Y260" s="87"/>
      <c r="Z260" s="88"/>
      <c r="AA260" s="89"/>
      <c r="AB260" s="89"/>
      <c r="AC260" s="94">
        <f>IF(NOT(OR(AC30=$B$14,AC30=$B$15,AC30=$B$22)),AC51*AC53*AC73*AC75*24,0)</f>
        <v>8.696327939999998</v>
      </c>
      <c r="AD260" s="95" t="s">
        <v>455</v>
      </c>
      <c r="AE260" s="50"/>
      <c r="AF260" s="94">
        <f>IF(NOT(OR(AC30=$B$14,AC30=$B$15,AC30=$B$22)),AF51*AF53*AF73*AF75*24,0)</f>
        <v>11.571959999999999</v>
      </c>
      <c r="AG260" s="95" t="s">
        <v>454</v>
      </c>
      <c r="AH260" s="87"/>
      <c r="AI260" s="88"/>
      <c r="AJ260" s="89"/>
      <c r="AK260" s="89"/>
      <c r="AL260" s="94">
        <f>IF(NOT(OR(AL30=$B$14,AL30=$B$15,AL30=$B$22)),AL51*AL53*AL73*AL75*24,0)</f>
        <v>121.73542487999998</v>
      </c>
      <c r="AM260" s="95" t="s">
        <v>455</v>
      </c>
      <c r="AN260" s="50"/>
      <c r="AO260" s="94">
        <f>IF(NOT(OR(AL30=$B$14,AL30=$B$15,AL30=$B$22)),AO51*AO53*AO73*AO75*24,0)</f>
        <v>161.98992000000001</v>
      </c>
      <c r="AP260" s="95" t="s">
        <v>454</v>
      </c>
      <c r="AQ260" s="87"/>
      <c r="AR260" s="88"/>
      <c r="AS260" s="80"/>
    </row>
    <row r="261" spans="1:45" ht="3" customHeight="1" x14ac:dyDescent="0.2">
      <c r="H261" s="45"/>
      <c r="J261" s="97"/>
      <c r="P261" s="89"/>
      <c r="Q261" s="298"/>
      <c r="R261" s="89"/>
      <c r="S261" s="89"/>
      <c r="W261" s="58"/>
      <c r="Y261" s="87"/>
      <c r="Z261" s="88"/>
      <c r="AA261" s="89"/>
      <c r="AB261" s="89"/>
      <c r="AC261" s="58"/>
      <c r="AF261" s="58"/>
      <c r="AH261" s="87"/>
      <c r="AI261" s="88"/>
      <c r="AJ261" s="89"/>
      <c r="AK261" s="89"/>
      <c r="AL261" s="58"/>
      <c r="AO261" s="58"/>
      <c r="AQ261" s="87"/>
      <c r="AR261" s="88"/>
      <c r="AS261" s="81"/>
    </row>
    <row r="262" spans="1:45" x14ac:dyDescent="0.2">
      <c r="H262" s="45" t="s">
        <v>293</v>
      </c>
      <c r="J262" s="96" t="str">
        <f>IF(UnitsOfMeasure="Metric","€ / year","$ / year")</f>
        <v>$ / year</v>
      </c>
      <c r="K262" s="115">
        <f>IF(UnitsOfMeasure="Metric",T262,W262)</f>
        <v>0</v>
      </c>
      <c r="M262" s="115">
        <f>IF(UnitsOfMeasure="Metric",AC262,AF262)</f>
        <v>0</v>
      </c>
      <c r="O262" s="115">
        <f>IF(UnitsOfMeasure="Metric",AL262,AO262)</f>
        <v>0</v>
      </c>
      <c r="P262" s="89"/>
      <c r="Q262" s="298"/>
      <c r="R262" s="89"/>
      <c r="S262" s="89"/>
      <c r="T262" s="94">
        <f>IF(OR(T30=$B$14,T30=$B$15),T51*T53*T69*T187*24/1000,0)</f>
        <v>0</v>
      </c>
      <c r="U262" s="95" t="s">
        <v>455</v>
      </c>
      <c r="V262" s="50"/>
      <c r="W262" s="94">
        <f>IF(OR(T30=$B$14,T30=$B$15),W51*W53*W69*W187*24/1000,0)</f>
        <v>0</v>
      </c>
      <c r="X262" s="95" t="s">
        <v>454</v>
      </c>
      <c r="Y262" s="87"/>
      <c r="Z262" s="88"/>
      <c r="AA262" s="89"/>
      <c r="AB262" s="89"/>
      <c r="AC262" s="94">
        <f>IF(OR(AC30=$B$14,AC30=$B$15),AC51*AC53*AC69*AC187*24/1000,0)</f>
        <v>0</v>
      </c>
      <c r="AD262" s="95" t="s">
        <v>455</v>
      </c>
      <c r="AE262" s="50"/>
      <c r="AF262" s="94">
        <f>IF(OR(AC30=$B$14,AC30=$B$15),AF51*AF53*AF69*AF187*24/1000,0)</f>
        <v>0</v>
      </c>
      <c r="AG262" s="95" t="s">
        <v>454</v>
      </c>
      <c r="AH262" s="87"/>
      <c r="AI262" s="88"/>
      <c r="AJ262" s="89"/>
      <c r="AK262" s="89"/>
      <c r="AL262" s="94">
        <f>IF(OR(AL30=$B$14,AL30=$B$15),AL51*AL53*AL69*AL187*24/1000,0)</f>
        <v>0</v>
      </c>
      <c r="AM262" s="95" t="s">
        <v>455</v>
      </c>
      <c r="AN262" s="50"/>
      <c r="AO262" s="94">
        <f>IF(OR(AL30=$B$14,AL30=$B$15),AO51*AO53*AO69*AO187*24/1000,0)</f>
        <v>0</v>
      </c>
      <c r="AP262" s="95" t="s">
        <v>454</v>
      </c>
      <c r="AQ262" s="87"/>
      <c r="AR262" s="88"/>
      <c r="AS262" s="80"/>
    </row>
    <row r="263" spans="1:45" ht="3" customHeight="1" x14ac:dyDescent="0.2">
      <c r="H263" s="45"/>
      <c r="J263" s="97"/>
      <c r="P263" s="89"/>
      <c r="Q263" s="298"/>
      <c r="R263" s="89"/>
      <c r="S263" s="89"/>
      <c r="W263" s="58"/>
      <c r="Y263" s="87"/>
      <c r="Z263" s="88"/>
      <c r="AA263" s="89"/>
      <c r="AB263" s="89"/>
      <c r="AC263" s="58"/>
      <c r="AF263" s="58"/>
      <c r="AH263" s="87"/>
      <c r="AI263" s="88"/>
      <c r="AJ263" s="89"/>
      <c r="AK263" s="89"/>
      <c r="AL263" s="58"/>
      <c r="AO263" s="58"/>
      <c r="AQ263" s="87"/>
      <c r="AR263" s="88"/>
      <c r="AS263" s="81"/>
    </row>
    <row r="264" spans="1:45" ht="13.5" customHeight="1" x14ac:dyDescent="0.2">
      <c r="H264" s="45" t="s">
        <v>294</v>
      </c>
      <c r="J264" s="96" t="str">
        <f>IF(UnitsOfMeasure="Metric","€ / year","$ / year")</f>
        <v>$ / year</v>
      </c>
      <c r="K264" s="115">
        <f>IF(UnitsOfMeasure="Metric",T264,W264)</f>
        <v>0</v>
      </c>
      <c r="M264" s="115">
        <f>IF(UnitsOfMeasure="Metric",AC264,AF264)</f>
        <v>0</v>
      </c>
      <c r="O264" s="115">
        <f>IF(UnitsOfMeasure="Metric",AL264,AO264)</f>
        <v>0</v>
      </c>
      <c r="P264" s="89"/>
      <c r="Q264" s="298"/>
      <c r="R264" s="89"/>
      <c r="T264" s="94">
        <f>T51*T85</f>
        <v>0</v>
      </c>
      <c r="U264" s="95" t="s">
        <v>455</v>
      </c>
      <c r="V264" s="50"/>
      <c r="W264" s="94">
        <f>W51*W85</f>
        <v>0</v>
      </c>
      <c r="X264" s="95" t="s">
        <v>454</v>
      </c>
      <c r="Y264" s="87"/>
      <c r="Z264" s="88"/>
      <c r="AA264" s="89"/>
      <c r="AC264" s="94">
        <f>AC51*AC85</f>
        <v>0</v>
      </c>
      <c r="AD264" s="95" t="s">
        <v>455</v>
      </c>
      <c r="AE264" s="50"/>
      <c r="AF264" s="94">
        <f>AF51*AF85</f>
        <v>0</v>
      </c>
      <c r="AG264" s="95" t="s">
        <v>454</v>
      </c>
      <c r="AH264" s="87"/>
      <c r="AI264" s="88"/>
      <c r="AJ264" s="89"/>
      <c r="AL264" s="94">
        <f>AL51*AL85</f>
        <v>0</v>
      </c>
      <c r="AM264" s="95" t="s">
        <v>455</v>
      </c>
      <c r="AN264" s="50"/>
      <c r="AO264" s="94">
        <f>AO51*AO85</f>
        <v>0</v>
      </c>
      <c r="AP264" s="95" t="s">
        <v>454</v>
      </c>
      <c r="AQ264" s="87"/>
      <c r="AR264" s="88"/>
      <c r="AS264" s="80"/>
    </row>
    <row r="265" spans="1:45" ht="3" customHeight="1" x14ac:dyDescent="0.2">
      <c r="J265" s="97"/>
      <c r="P265" s="89"/>
      <c r="Q265" s="298"/>
      <c r="R265" s="89"/>
      <c r="W265" s="58"/>
      <c r="Y265" s="87"/>
      <c r="Z265" s="88"/>
      <c r="AA265" s="89"/>
      <c r="AC265" s="58"/>
      <c r="AF265" s="58"/>
      <c r="AH265" s="87"/>
      <c r="AI265" s="88"/>
      <c r="AJ265" s="89"/>
      <c r="AL265" s="58"/>
      <c r="AO265" s="58"/>
      <c r="AQ265" s="87"/>
      <c r="AR265" s="88"/>
      <c r="AS265" s="81"/>
    </row>
    <row r="266" spans="1:45" ht="13.5" customHeight="1" x14ac:dyDescent="0.2">
      <c r="C266" s="107" t="s">
        <v>312</v>
      </c>
      <c r="J266" s="97"/>
      <c r="P266" s="89"/>
      <c r="Q266" s="298"/>
      <c r="R266" s="89"/>
      <c r="W266" s="58"/>
      <c r="Y266" s="87"/>
      <c r="Z266" s="88"/>
      <c r="AA266" s="89"/>
      <c r="AC266" s="58"/>
      <c r="AF266" s="58"/>
      <c r="AH266" s="87"/>
      <c r="AI266" s="88"/>
      <c r="AJ266" s="89"/>
      <c r="AL266" s="58"/>
      <c r="AO266" s="58"/>
      <c r="AQ266" s="87"/>
      <c r="AR266" s="88"/>
      <c r="AS266" s="80"/>
    </row>
    <row r="267" spans="1:45" ht="3" customHeight="1" x14ac:dyDescent="0.2">
      <c r="C267" s="107"/>
      <c r="J267" s="97"/>
      <c r="P267" s="89"/>
      <c r="Q267" s="298"/>
      <c r="R267" s="89"/>
      <c r="W267" s="58"/>
      <c r="Y267" s="87"/>
      <c r="Z267" s="88"/>
      <c r="AA267" s="89"/>
      <c r="AC267" s="58"/>
      <c r="AF267" s="58"/>
      <c r="AH267" s="87"/>
      <c r="AI267" s="88"/>
      <c r="AJ267" s="89"/>
      <c r="AL267" s="58"/>
      <c r="AO267" s="58"/>
      <c r="AQ267" s="87"/>
      <c r="AR267" s="88"/>
      <c r="AS267" s="81"/>
    </row>
    <row r="268" spans="1:45" ht="13.5" customHeight="1" x14ac:dyDescent="0.2">
      <c r="D268" s="43" t="s">
        <v>297</v>
      </c>
      <c r="H268" s="43" t="s">
        <v>298</v>
      </c>
      <c r="J268" s="96" t="str">
        <f>IF(UnitsOfMeasure="Metric","€ / year","$ / year")</f>
        <v>$ / year</v>
      </c>
      <c r="K268" s="115">
        <f>IF(UnitsOfMeasure="Metric",T268,W268)</f>
        <v>133.33333333333334</v>
      </c>
      <c r="M268" s="115">
        <f>IF(UnitsOfMeasure="Metric",AC268,AF268)</f>
        <v>133.33333333333334</v>
      </c>
      <c r="O268" s="115">
        <f>IF(UnitsOfMeasure="Metric",AL268,AO268)</f>
        <v>533.33333333333337</v>
      </c>
      <c r="P268" s="89"/>
      <c r="Q268" s="298"/>
      <c r="R268" s="89"/>
      <c r="S268" s="89"/>
      <c r="T268" s="94">
        <f>IF(T30=$B$24,T37*T179/(T177/12),IF(T30=$B$23,T37*(T47+T49*T51)/(T151/12)+T37*T47*T51/(T125/12),T37*(T47+T49)/(T105/12)))</f>
        <v>100.19999999999999</v>
      </c>
      <c r="U268" s="95" t="s">
        <v>455</v>
      </c>
      <c r="V268" s="50"/>
      <c r="W268" s="94">
        <f>IF(T30=$B$24,W37*W179/(W177/12),IF(T30=$B$23,W37*(W47+W49*W51)/(W151/12)+W37*W47*W51/(W125/12),W37*(W47+W49)/(W105/12)))</f>
        <v>133.33333333333334</v>
      </c>
      <c r="X268" s="95" t="s">
        <v>454</v>
      </c>
      <c r="Y268" s="87"/>
      <c r="Z268" s="88"/>
      <c r="AA268" s="89"/>
      <c r="AB268" s="89"/>
      <c r="AC268" s="94">
        <f>IF(AC30=$B$24,AC37*AC179/(AC177/12),IF(AC30=$B$23,AC37*(AC47+AC49*AC51)/(AC151/12)+AC37*AC47*AC51/(AC125/12),AC37*(AC47+AC49)/(AC105/12)))</f>
        <v>100.19999999999999</v>
      </c>
      <c r="AD268" s="95" t="s">
        <v>455</v>
      </c>
      <c r="AE268" s="50"/>
      <c r="AF268" s="94">
        <f>IF(AC30=$B$24,AF37*AF179/(AF177/12),IF(AC30=$B$23,AF37*(AF47+AF49*AF51)/(AF151/12)+AF37*AF47*AF51/(AF125/12),AF37*(AF47+AF49)/(AF105/12)))</f>
        <v>133.33333333333334</v>
      </c>
      <c r="AG268" s="95" t="s">
        <v>454</v>
      </c>
      <c r="AH268" s="87"/>
      <c r="AI268" s="88"/>
      <c r="AJ268" s="89"/>
      <c r="AK268" s="89"/>
      <c r="AL268" s="94">
        <f>IF(AL30=$B$24,AL37*AL179/(AL177/12),IF(AL30=$B$23,AL37*(AL47+AL49*AL51)/(AL151/12)+AL37*AL47*AL51/(AL125/12),AL37*(AL47+AL49)/(AL105/12)))</f>
        <v>400.79999999999995</v>
      </c>
      <c r="AM268" s="95" t="s">
        <v>455</v>
      </c>
      <c r="AN268" s="50"/>
      <c r="AO268" s="94">
        <f>IF(AL30=$B$24,AO37*AO179/(AO177/12),IF(AL30=$B$23,AO37*(AO47+AO49*AO51)/(AO151/12)+AO37*AO47*AO51/(AO125/12),AO37*(AO47+AO49)/(AO105/12)))</f>
        <v>533.33333333333337</v>
      </c>
      <c r="AP268" s="95" t="s">
        <v>454</v>
      </c>
      <c r="AQ268" s="87"/>
      <c r="AR268" s="88"/>
      <c r="AS268" s="80"/>
    </row>
    <row r="269" spans="1:45" ht="3" customHeight="1" x14ac:dyDescent="0.2">
      <c r="J269" s="97"/>
      <c r="P269" s="89"/>
      <c r="Q269" s="298"/>
      <c r="R269" s="89"/>
      <c r="S269" s="89"/>
      <c r="W269" s="58"/>
      <c r="Y269" s="87"/>
      <c r="Z269" s="88"/>
      <c r="AA269" s="89"/>
      <c r="AB269" s="89"/>
      <c r="AC269" s="58"/>
      <c r="AF269" s="58"/>
      <c r="AH269" s="87"/>
      <c r="AI269" s="88"/>
      <c r="AJ269" s="89"/>
      <c r="AK269" s="89"/>
      <c r="AL269" s="58"/>
      <c r="AO269" s="58"/>
      <c r="AQ269" s="87"/>
      <c r="AR269" s="88"/>
      <c r="AS269" s="81"/>
    </row>
    <row r="270" spans="1:45" ht="13.5" customHeight="1" x14ac:dyDescent="0.2">
      <c r="D270" s="43" t="s">
        <v>299</v>
      </c>
      <c r="H270" s="43" t="s">
        <v>300</v>
      </c>
      <c r="J270" s="96" t="str">
        <f>IF(UnitsOfMeasure="Metric","€ / year","$ / year")</f>
        <v>$ / year</v>
      </c>
      <c r="K270" s="115">
        <f>IF(UnitsOfMeasure="Metric",T270,W270)</f>
        <v>500</v>
      </c>
      <c r="M270" s="115">
        <f>IF(UnitsOfMeasure="Metric",AC270,AF270)</f>
        <v>500</v>
      </c>
      <c r="O270" s="115">
        <f>IF(UnitsOfMeasure="Metric",AL270,AO270)</f>
        <v>500</v>
      </c>
      <c r="P270" s="89"/>
      <c r="Q270" s="298"/>
      <c r="R270" s="89"/>
      <c r="S270" s="89"/>
      <c r="T270" s="94">
        <f>IF(T30=$B$24,T175*T181/(T177/12),IF(T30=$B$23,T45*T51/(T151/12),T45*T51/(T105/12)))</f>
        <v>375.75</v>
      </c>
      <c r="U270" s="95" t="s">
        <v>455</v>
      </c>
      <c r="V270" s="50"/>
      <c r="W270" s="94">
        <f>IF(T30=$B$24,W175*W181/(W177/12),IF(T30=$B$23,W45*W51/(W151/12),W45*W51/(W105/12)))</f>
        <v>500</v>
      </c>
      <c r="X270" s="95" t="s">
        <v>454</v>
      </c>
      <c r="Y270" s="87"/>
      <c r="Z270" s="88"/>
      <c r="AA270" s="89"/>
      <c r="AB270" s="89"/>
      <c r="AC270" s="94">
        <f>IF(AC30=$B$24,AC175*AC181/(AC177/12),IF(AC30=$B$23,AC45*AC51/(AC151/12),AC45*AC51/(AC105/12)))</f>
        <v>375.75</v>
      </c>
      <c r="AD270" s="95" t="s">
        <v>455</v>
      </c>
      <c r="AE270" s="50"/>
      <c r="AF270" s="94">
        <f>IF(AC30=$B$24,AF175*AF181/(AF177/12),IF(AC30=$B$23,AF45*AF51/(AF151/12),AF45*AF51/(AF105/12)))</f>
        <v>500</v>
      </c>
      <c r="AG270" s="95" t="s">
        <v>454</v>
      </c>
      <c r="AH270" s="87"/>
      <c r="AI270" s="88"/>
      <c r="AJ270" s="89"/>
      <c r="AK270" s="89"/>
      <c r="AL270" s="94">
        <f>IF(AL30=$B$24,AL175*AL181/(AL177/12),IF(AL30=$B$23,AL45*AL51/(AL151/12),AL45*AL51/(AL105/12)))</f>
        <v>375.75</v>
      </c>
      <c r="AM270" s="95" t="s">
        <v>455</v>
      </c>
      <c r="AN270" s="50"/>
      <c r="AO270" s="94">
        <f>IF(AL30=$B$24,AO175*AO181/(AO177/12),IF(AL30=$B$23,AO45*AO51/(AO151/12),AO45*AO51/(AO105/12)))</f>
        <v>500</v>
      </c>
      <c r="AP270" s="95" t="s">
        <v>454</v>
      </c>
      <c r="AQ270" s="87"/>
      <c r="AR270" s="88"/>
      <c r="AS270" s="80"/>
    </row>
    <row r="271" spans="1:45" ht="3" customHeight="1" x14ac:dyDescent="0.2">
      <c r="J271" s="97"/>
      <c r="P271" s="89"/>
      <c r="Q271" s="298"/>
      <c r="R271" s="89"/>
      <c r="S271" s="89"/>
      <c r="W271" s="58"/>
      <c r="Y271" s="87"/>
      <c r="Z271" s="88"/>
      <c r="AA271" s="89"/>
      <c r="AB271" s="89"/>
      <c r="AC271" s="58"/>
      <c r="AF271" s="58"/>
      <c r="AH271" s="87"/>
      <c r="AI271" s="88"/>
      <c r="AJ271" s="89"/>
      <c r="AK271" s="89"/>
      <c r="AL271" s="58"/>
      <c r="AO271" s="58"/>
      <c r="AQ271" s="87"/>
      <c r="AR271" s="88"/>
      <c r="AS271" s="81"/>
    </row>
    <row r="272" spans="1:45" ht="13.5" hidden="1" customHeight="1" x14ac:dyDescent="0.2">
      <c r="A272" s="62" t="s">
        <v>263</v>
      </c>
      <c r="D272" s="43" t="s">
        <v>301</v>
      </c>
      <c r="H272" s="43" t="s">
        <v>302</v>
      </c>
      <c r="J272" s="96" t="str">
        <f>IF(UnitsOfMeasure="Metric","€ / year","$ / year")</f>
        <v>$ / year</v>
      </c>
      <c r="K272" s="115">
        <f>IF(UnitsOfMeasure="Metric",T272,W272)</f>
        <v>0</v>
      </c>
      <c r="M272" s="115">
        <f>IF(UnitsOfMeasure="Metric",AC272,AF272)</f>
        <v>0</v>
      </c>
      <c r="O272" s="115">
        <f>IF(UnitsOfMeasure="Metric",AL272,AO272)</f>
        <v>0</v>
      </c>
      <c r="P272" s="89"/>
      <c r="Q272" s="298"/>
      <c r="R272" s="89"/>
      <c r="S272" s="89"/>
      <c r="T272" s="94">
        <f>IF(T30=$B$24,T37*T179/(T177/12),0)</f>
        <v>0</v>
      </c>
      <c r="U272" s="95" t="s">
        <v>455</v>
      </c>
      <c r="V272" s="50"/>
      <c r="W272" s="94">
        <f>IF(T30=$B$24,W37*W179/(W177/12),0)</f>
        <v>0</v>
      </c>
      <c r="X272" s="95" t="s">
        <v>454</v>
      </c>
      <c r="Y272" s="87"/>
      <c r="Z272" s="88"/>
      <c r="AA272" s="89"/>
      <c r="AB272" s="89"/>
      <c r="AC272" s="94">
        <f>IF(AC30=$B$24,AC37*AC179/(AC177/12),0)</f>
        <v>0</v>
      </c>
      <c r="AD272" s="95" t="s">
        <v>455</v>
      </c>
      <c r="AE272" s="50"/>
      <c r="AF272" s="94">
        <f>IF(AC30=$B$24,AF37*AF179/(AF177/12),0)</f>
        <v>0</v>
      </c>
      <c r="AG272" s="95" t="s">
        <v>454</v>
      </c>
      <c r="AH272" s="87"/>
      <c r="AI272" s="88"/>
      <c r="AJ272" s="89"/>
      <c r="AK272" s="89"/>
      <c r="AL272" s="94">
        <f>IF(AL30=$B$24,AL37*AL179/(AL177/12),0)</f>
        <v>0</v>
      </c>
      <c r="AM272" s="95" t="s">
        <v>455</v>
      </c>
      <c r="AN272" s="50"/>
      <c r="AO272" s="94">
        <f>IF(AL30=$B$24,AO37*AO179/(AO177/12),0)</f>
        <v>0</v>
      </c>
      <c r="AP272" s="95" t="s">
        <v>454</v>
      </c>
      <c r="AQ272" s="87"/>
      <c r="AR272" s="88"/>
      <c r="AS272" s="80"/>
    </row>
    <row r="273" spans="1:45" ht="3" hidden="1" customHeight="1" x14ac:dyDescent="0.2">
      <c r="A273" s="62"/>
      <c r="H273" s="58"/>
      <c r="J273" s="97"/>
      <c r="P273" s="89"/>
      <c r="Q273" s="298"/>
      <c r="R273" s="89"/>
      <c r="S273" s="89"/>
      <c r="W273" s="58"/>
      <c r="Y273" s="87"/>
      <c r="Z273" s="88"/>
      <c r="AA273" s="89"/>
      <c r="AB273" s="89"/>
      <c r="AC273" s="58"/>
      <c r="AF273" s="58"/>
      <c r="AH273" s="87"/>
      <c r="AI273" s="88"/>
      <c r="AJ273" s="89"/>
      <c r="AK273" s="89"/>
      <c r="AL273" s="58"/>
      <c r="AO273" s="58"/>
      <c r="AQ273" s="87"/>
      <c r="AR273" s="88"/>
      <c r="AS273" s="81"/>
    </row>
    <row r="274" spans="1:45" ht="13.5" customHeight="1" x14ac:dyDescent="0.2">
      <c r="C274" s="107" t="s">
        <v>313</v>
      </c>
      <c r="H274" s="58"/>
      <c r="J274" s="97"/>
      <c r="P274" s="89"/>
      <c r="Q274" s="298"/>
      <c r="R274" s="89"/>
      <c r="W274" s="58"/>
      <c r="Y274" s="87"/>
      <c r="Z274" s="88"/>
      <c r="AA274" s="89"/>
      <c r="AC274" s="58"/>
      <c r="AF274" s="58"/>
      <c r="AH274" s="87"/>
      <c r="AI274" s="88"/>
      <c r="AJ274" s="89"/>
      <c r="AL274" s="58"/>
      <c r="AO274" s="58"/>
      <c r="AQ274" s="87"/>
      <c r="AR274" s="88"/>
      <c r="AS274" s="80"/>
    </row>
    <row r="275" spans="1:45" ht="3" customHeight="1" x14ac:dyDescent="0.2">
      <c r="C275" s="107"/>
      <c r="H275" s="58"/>
      <c r="J275" s="97"/>
      <c r="P275" s="89"/>
      <c r="Q275" s="298"/>
      <c r="R275" s="89"/>
      <c r="W275" s="58"/>
      <c r="Y275" s="87"/>
      <c r="Z275" s="88"/>
      <c r="AA275" s="89"/>
      <c r="AC275" s="58"/>
      <c r="AF275" s="58"/>
      <c r="AH275" s="87"/>
      <c r="AI275" s="88"/>
      <c r="AJ275" s="89"/>
      <c r="AL275" s="58"/>
      <c r="AO275" s="58"/>
      <c r="AQ275" s="87"/>
      <c r="AR275" s="88"/>
      <c r="AS275" s="81"/>
    </row>
    <row r="276" spans="1:45" ht="13.5" customHeight="1" x14ac:dyDescent="0.2">
      <c r="D276" s="43" t="s">
        <v>299</v>
      </c>
      <c r="H276" s="43" t="s">
        <v>303</v>
      </c>
      <c r="J276" s="96" t="str">
        <f>IF(UnitsOfMeasure="Metric","€ / year","$ / year")</f>
        <v>$ / year</v>
      </c>
      <c r="K276" s="115">
        <f>IF(UnitsOfMeasure="Metric",T276,W276)</f>
        <v>218.75</v>
      </c>
      <c r="M276" s="115">
        <f>IF(UnitsOfMeasure="Metric",AC276,AF276)</f>
        <v>218.75</v>
      </c>
      <c r="O276" s="115">
        <f>IF(UnitsOfMeasure="Metric",AL276,AO276)</f>
        <v>0</v>
      </c>
      <c r="P276" s="89"/>
      <c r="Q276" s="298"/>
      <c r="R276" s="89"/>
      <c r="S276" s="89"/>
      <c r="T276" s="94">
        <f>IF(NOT(OR(T30=$B$23,T30=$B$24)),T51*T99*T107/(T105/12),0)</f>
        <v>164.39062499999997</v>
      </c>
      <c r="U276" s="95" t="s">
        <v>455</v>
      </c>
      <c r="V276" s="50"/>
      <c r="W276" s="94">
        <f>IF(NOT(OR(T30=$B$23,T30=$B$24)),W51*W99*W107/(W105/12),0)</f>
        <v>218.75</v>
      </c>
      <c r="X276" s="95" t="s">
        <v>454</v>
      </c>
      <c r="Y276" s="87"/>
      <c r="Z276" s="88"/>
      <c r="AA276" s="89"/>
      <c r="AB276" s="89"/>
      <c r="AC276" s="94">
        <f>IF(NOT(OR(AC30=$B$23,AC30=$B$24)),AC51*AC99*AC107/(AC105/12),0)</f>
        <v>164.39062499999997</v>
      </c>
      <c r="AD276" s="95" t="s">
        <v>455</v>
      </c>
      <c r="AE276" s="50"/>
      <c r="AF276" s="94">
        <f>IF(NOT(OR(AC30=$B$23,AC30=$B$24)),AF51*AF99*AF107/(AF105/12),0)</f>
        <v>218.75</v>
      </c>
      <c r="AG276" s="95" t="s">
        <v>454</v>
      </c>
      <c r="AH276" s="87"/>
      <c r="AI276" s="88"/>
      <c r="AJ276" s="89"/>
      <c r="AK276" s="89"/>
      <c r="AL276" s="94">
        <f>IF(NOT(OR(AL30=$B$23,AL30=$B$24)),AL51*AL99*AL107/(AL105/12),0)</f>
        <v>0</v>
      </c>
      <c r="AM276" s="95" t="s">
        <v>455</v>
      </c>
      <c r="AN276" s="50"/>
      <c r="AO276" s="94">
        <f>IF(NOT(OR(AL30=$B$23,AL30=$B$24)),AO51*AO99*AO107/(AO105/12),0)</f>
        <v>0</v>
      </c>
      <c r="AP276" s="95" t="s">
        <v>454</v>
      </c>
      <c r="AQ276" s="87"/>
      <c r="AR276" s="88"/>
      <c r="AS276" s="80"/>
    </row>
    <row r="277" spans="1:45" ht="3" customHeight="1" x14ac:dyDescent="0.2">
      <c r="J277" s="97"/>
      <c r="P277" s="89"/>
      <c r="Q277" s="298"/>
      <c r="R277" s="89"/>
      <c r="S277" s="89"/>
      <c r="W277" s="58"/>
      <c r="Y277" s="87"/>
      <c r="Z277" s="88"/>
      <c r="AA277" s="89"/>
      <c r="AB277" s="89"/>
      <c r="AC277" s="58"/>
      <c r="AF277" s="58"/>
      <c r="AH277" s="87"/>
      <c r="AI277" s="88"/>
      <c r="AJ277" s="89"/>
      <c r="AK277" s="89"/>
      <c r="AL277" s="58"/>
      <c r="AO277" s="58"/>
      <c r="AQ277" s="87"/>
      <c r="AR277" s="88"/>
      <c r="AS277" s="81"/>
    </row>
    <row r="278" spans="1:45" ht="13.5" customHeight="1" x14ac:dyDescent="0.2">
      <c r="H278" s="43" t="s">
        <v>304</v>
      </c>
      <c r="J278" s="96" t="str">
        <f>IF(UnitsOfMeasure="Metric","€ / year","$ / year")</f>
        <v>$ / year</v>
      </c>
      <c r="K278" s="115">
        <f>IF(UnitsOfMeasure="Metric",T278,W278)</f>
        <v>0</v>
      </c>
      <c r="M278" s="115">
        <f>IF(UnitsOfMeasure="Metric",AC278,AF278)</f>
        <v>0</v>
      </c>
      <c r="O278" s="115">
        <f>IF(UnitsOfMeasure="Metric",AL278,AO278)</f>
        <v>344.16666666666663</v>
      </c>
      <c r="P278" s="89"/>
      <c r="Q278" s="298"/>
      <c r="R278" s="89"/>
      <c r="S278" s="89"/>
      <c r="T278" s="94">
        <f>IF(T30=$B$23,T51*T121*T127/(T125/12)+T153/(T151/12),0)</f>
        <v>0</v>
      </c>
      <c r="U278" s="95" t="s">
        <v>455</v>
      </c>
      <c r="V278" s="50"/>
      <c r="W278" s="94">
        <f>IF(T30=$B$23,W51*W121*W127/(W125/12)+W153/(W151/12),0)</f>
        <v>0</v>
      </c>
      <c r="X278" s="95" t="s">
        <v>454</v>
      </c>
      <c r="Y278" s="87"/>
      <c r="Z278" s="88"/>
      <c r="AA278" s="89"/>
      <c r="AB278" s="89"/>
      <c r="AC278" s="94">
        <f>IF(AC30=$B$23,AC51*AC121*AC127/(AC125/12)+AC153/(AC151/12),0)</f>
        <v>0</v>
      </c>
      <c r="AD278" s="95" t="s">
        <v>455</v>
      </c>
      <c r="AE278" s="50"/>
      <c r="AF278" s="94">
        <f>IF(AC30=$B$23,AF51*AF121*AF127/(AF125/12)+AF153/(AF151/12),0)</f>
        <v>0</v>
      </c>
      <c r="AG278" s="95" t="s">
        <v>454</v>
      </c>
      <c r="AH278" s="87"/>
      <c r="AI278" s="88"/>
      <c r="AJ278" s="89"/>
      <c r="AK278" s="89"/>
      <c r="AL278" s="94">
        <f>IF(AL30=$B$23,AL51*AL121*AL127/(AL125/12)+AL153/(AL151/12),0)</f>
        <v>258.64125000000001</v>
      </c>
      <c r="AM278" s="95" t="s">
        <v>455</v>
      </c>
      <c r="AN278" s="50"/>
      <c r="AO278" s="94">
        <f>IF(AL30=$B$23,AO51*AO121*AO127/(AO125/12)+AO153/(AO151/12),0)</f>
        <v>344.16666666666663</v>
      </c>
      <c r="AP278" s="95" t="s">
        <v>454</v>
      </c>
      <c r="AQ278" s="87"/>
      <c r="AR278" s="88"/>
      <c r="AS278" s="80"/>
    </row>
    <row r="279" spans="1:45" ht="3" customHeight="1" x14ac:dyDescent="0.2">
      <c r="J279" s="97"/>
      <c r="P279" s="89"/>
      <c r="Q279" s="298"/>
      <c r="R279" s="89"/>
      <c r="S279" s="89"/>
      <c r="W279" s="58"/>
      <c r="Y279" s="87"/>
      <c r="Z279" s="88"/>
      <c r="AA279" s="89"/>
      <c r="AB279" s="89"/>
      <c r="AC279" s="58"/>
      <c r="AF279" s="58"/>
      <c r="AH279" s="87"/>
      <c r="AI279" s="88"/>
      <c r="AJ279" s="89"/>
      <c r="AK279" s="89"/>
      <c r="AL279" s="58"/>
      <c r="AO279" s="58"/>
      <c r="AQ279" s="87"/>
      <c r="AR279" s="88"/>
      <c r="AS279" s="81"/>
    </row>
    <row r="280" spans="1:45" ht="13.5" customHeight="1" x14ac:dyDescent="0.2">
      <c r="C280" s="107" t="s">
        <v>314</v>
      </c>
      <c r="J280" s="97"/>
      <c r="P280" s="89"/>
      <c r="Q280" s="298"/>
      <c r="R280" s="89"/>
      <c r="W280" s="58"/>
      <c r="Y280" s="87"/>
      <c r="Z280" s="88"/>
      <c r="AA280" s="89"/>
      <c r="AC280" s="58"/>
      <c r="AF280" s="58"/>
      <c r="AH280" s="87"/>
      <c r="AI280" s="88"/>
      <c r="AJ280" s="89"/>
      <c r="AL280" s="58"/>
      <c r="AO280" s="58"/>
      <c r="AQ280" s="87"/>
      <c r="AR280" s="88"/>
      <c r="AS280" s="80"/>
    </row>
    <row r="281" spans="1:45" ht="3" customHeight="1" x14ac:dyDescent="0.2">
      <c r="C281" s="107"/>
      <c r="J281" s="97"/>
      <c r="P281" s="89"/>
      <c r="Q281" s="298"/>
      <c r="R281" s="89"/>
      <c r="W281" s="58"/>
      <c r="Y281" s="87"/>
      <c r="Z281" s="88"/>
      <c r="AA281" s="89"/>
      <c r="AC281" s="58"/>
      <c r="AF281" s="58"/>
      <c r="AH281" s="87"/>
      <c r="AI281" s="88"/>
      <c r="AJ281" s="89"/>
      <c r="AL281" s="58"/>
      <c r="AO281" s="58"/>
      <c r="AQ281" s="87"/>
      <c r="AR281" s="88"/>
      <c r="AS281" s="81"/>
    </row>
    <row r="282" spans="1:45" ht="13.5" customHeight="1" x14ac:dyDescent="0.2">
      <c r="D282" s="43" t="s">
        <v>297</v>
      </c>
      <c r="H282" s="43" t="s">
        <v>298</v>
      </c>
      <c r="J282" s="96" t="str">
        <f>IF(UnitsOfMeasure="Metric","€ / year","$ / year")</f>
        <v>$ / year</v>
      </c>
      <c r="K282" s="115">
        <f>IF(UnitsOfMeasure="Metric",T282,W282)</f>
        <v>33.333333333333336</v>
      </c>
      <c r="M282" s="115">
        <f>IF(UnitsOfMeasure="Metric",AC282,AF282)</f>
        <v>0</v>
      </c>
      <c r="O282" s="115">
        <f>IF(UnitsOfMeasure="Metric",AL282,AO282)</f>
        <v>0</v>
      </c>
      <c r="P282" s="89"/>
      <c r="Q282" s="298"/>
      <c r="R282" s="89"/>
      <c r="S282" s="89"/>
      <c r="T282" s="94">
        <f>IF(OR(T30=$B$6, T30=$B$7,T30=$B$8,T30=$B$9,T30=$B$12,T30=$B$23,T30=$B$24),0,T37*T51*T233/(T231/12))</f>
        <v>25.049999999999997</v>
      </c>
      <c r="U282" s="95" t="s">
        <v>455</v>
      </c>
      <c r="V282" s="50"/>
      <c r="W282" s="94">
        <f>IF(OR(T30=$B$6, T30=$B$7,T30=$B$8,T30=$B$9,T30=$B$12,T30=$B$23,T30=$B$24),0,W37*W51*W233/(W231/12))</f>
        <v>33.333333333333336</v>
      </c>
      <c r="X282" s="95" t="s">
        <v>454</v>
      </c>
      <c r="Y282" s="87"/>
      <c r="Z282" s="88"/>
      <c r="AA282" s="89"/>
      <c r="AB282" s="89"/>
      <c r="AC282" s="94">
        <f>IF(OR(AC30=$B$6, AC30=$B$7,AC30=$B$8,AC30=$B$9,AC30=$B$12,AC30=$B$23,AC30=$B$24),0,AC37*AC51*AC233/(AC231/12))</f>
        <v>0</v>
      </c>
      <c r="AD282" s="95" t="s">
        <v>455</v>
      </c>
      <c r="AE282" s="50"/>
      <c r="AF282" s="94">
        <f>IF(OR(AC30=$B$6, AC30=$B$7,AC30=$B$8,AC30=$B$9,AC30=$B$12,AC30=$B$23,AC30=$B$24),0,AF37*AF51*AF233/(AF231/12))</f>
        <v>0</v>
      </c>
      <c r="AG282" s="95" t="s">
        <v>454</v>
      </c>
      <c r="AH282" s="87"/>
      <c r="AI282" s="88"/>
      <c r="AJ282" s="89"/>
      <c r="AK282" s="89"/>
      <c r="AL282" s="94">
        <f>IF(OR(AL30=$B$6, AL30=$B$7,AL30=$B$8,AL30=$B$9,AL30=$B$12,AL30=$B$23,AL30=$B$24),0,AL37*AL51*AL233/(AL231/12))</f>
        <v>0</v>
      </c>
      <c r="AM282" s="95" t="s">
        <v>455</v>
      </c>
      <c r="AN282" s="50"/>
      <c r="AO282" s="94">
        <f>IF(OR(AL30=$B$6, AL30=$B$7,AL30=$B$8,AL30=$B$9,AL30=$B$12,AL30=$B$23,AL30=$B$24),0,AO37*AO51*AO233/(AO231/12))</f>
        <v>0</v>
      </c>
      <c r="AP282" s="95" t="s">
        <v>454</v>
      </c>
      <c r="AQ282" s="87"/>
      <c r="AR282" s="88"/>
      <c r="AS282" s="80"/>
    </row>
    <row r="283" spans="1:45" ht="3" customHeight="1" x14ac:dyDescent="0.2">
      <c r="J283" s="97"/>
      <c r="P283" s="89"/>
      <c r="Q283" s="298"/>
      <c r="R283" s="89"/>
      <c r="S283" s="89"/>
      <c r="W283" s="58"/>
      <c r="Y283" s="87"/>
      <c r="Z283" s="88"/>
      <c r="AA283" s="89"/>
      <c r="AB283" s="89"/>
      <c r="AC283" s="58"/>
      <c r="AF283" s="58"/>
      <c r="AH283" s="87"/>
      <c r="AI283" s="88"/>
      <c r="AJ283" s="89"/>
      <c r="AK283" s="89"/>
      <c r="AL283" s="58"/>
      <c r="AO283" s="58"/>
      <c r="AQ283" s="87"/>
      <c r="AR283" s="88"/>
      <c r="AS283" s="81"/>
    </row>
    <row r="284" spans="1:45" ht="13.5" customHeight="1" x14ac:dyDescent="0.2">
      <c r="D284" s="43" t="s">
        <v>299</v>
      </c>
      <c r="H284" s="43" t="s">
        <v>305</v>
      </c>
      <c r="J284" s="96" t="str">
        <f>IF(UnitsOfMeasure="Metric","€ / year","$ / year")</f>
        <v>$ / year</v>
      </c>
      <c r="K284" s="115">
        <f>IF(UnitsOfMeasure="Metric",T284,W284)</f>
        <v>0</v>
      </c>
      <c r="M284" s="115">
        <f>IF(UnitsOfMeasure="Metric",AC284,AF284)</f>
        <v>0</v>
      </c>
      <c r="O284" s="115">
        <f>IF(UnitsOfMeasure="Metric",AL284,AO284)</f>
        <v>0</v>
      </c>
      <c r="P284" s="89"/>
      <c r="Q284" s="298"/>
      <c r="R284" s="89"/>
      <c r="S284" s="89"/>
      <c r="T284" s="94">
        <f>IF(OR(T30=$B$6,T30=$B$7,T30=$B$8,T30=$B$9,T30=$B$12,T30=$B$23,T30=$B$24),0,T51*T227*T229/(T231/12))</f>
        <v>0</v>
      </c>
      <c r="U284" s="95" t="s">
        <v>455</v>
      </c>
      <c r="V284" s="50"/>
      <c r="W284" s="94">
        <f>IF(OR(T30=$B$6, T30=$B$7,T30=$B$8,T30=$B$9,T30=$B$12,T30=$B$23,T30=$B$24),0,W51*W227*W229/(W231/12))</f>
        <v>0</v>
      </c>
      <c r="X284" s="95" t="s">
        <v>454</v>
      </c>
      <c r="Y284" s="87"/>
      <c r="Z284" s="88"/>
      <c r="AA284" s="89"/>
      <c r="AB284" s="89"/>
      <c r="AC284" s="94">
        <f>IF(OR(AC30=$B$6,AC30=$B$7,AC30=$B$8,AC30=$B$9,AC30=$B$12,AC30=$B$23,AC30=$B$24),0,AC51*AC227*AC229/(AC231/12))</f>
        <v>0</v>
      </c>
      <c r="AD284" s="95" t="s">
        <v>455</v>
      </c>
      <c r="AE284" s="50"/>
      <c r="AF284" s="94">
        <f>IF(OR(AC30=$B$6, AC30=$B$7,AC30=$B$8,AC30=$B$9,AC30=$B$12,AC30=$B$23,AC30=$B$24),0,AF51*AF227*AF229/(AF231/12))</f>
        <v>0</v>
      </c>
      <c r="AG284" s="95" t="s">
        <v>454</v>
      </c>
      <c r="AH284" s="87"/>
      <c r="AI284" s="88"/>
      <c r="AJ284" s="89"/>
      <c r="AK284" s="89"/>
      <c r="AL284" s="94">
        <f>IF(OR(AL30=$B$6,AL30=$B$7,AL30=$B$8,AL30=$B$9,AL30=$B$12,AL30=$B$23,AL30=$B$24),0,AL51*AL227*AL229/(AL231/12))</f>
        <v>0</v>
      </c>
      <c r="AM284" s="95" t="s">
        <v>455</v>
      </c>
      <c r="AN284" s="50"/>
      <c r="AO284" s="94">
        <f>IF(OR(AL30=$B$6, AL30=$B$7,AL30=$B$8,AL30=$B$9,AL30=$B$12,AL30=$B$23,AL30=$B$24),0,AO51*AO227*AO229/(AO231/12))</f>
        <v>0</v>
      </c>
      <c r="AP284" s="95" t="s">
        <v>454</v>
      </c>
      <c r="AQ284" s="87"/>
      <c r="AR284" s="88"/>
      <c r="AS284" s="80"/>
    </row>
    <row r="285" spans="1:45" ht="3" customHeight="1" x14ac:dyDescent="0.2">
      <c r="H285" s="58"/>
      <c r="J285" s="97"/>
      <c r="P285" s="89"/>
      <c r="Q285" s="298"/>
      <c r="R285" s="89"/>
      <c r="S285" s="89"/>
      <c r="W285" s="58"/>
      <c r="Y285" s="87"/>
      <c r="Z285" s="88"/>
      <c r="AA285" s="89"/>
      <c r="AB285" s="89"/>
      <c r="AC285" s="58"/>
      <c r="AF285" s="58"/>
      <c r="AH285" s="87"/>
      <c r="AI285" s="88"/>
      <c r="AJ285" s="89"/>
      <c r="AK285" s="89"/>
      <c r="AL285" s="58"/>
      <c r="AO285" s="58"/>
      <c r="AQ285" s="87"/>
      <c r="AR285" s="88"/>
      <c r="AS285" s="81"/>
    </row>
    <row r="286" spans="1:45" ht="13.5" customHeight="1" x14ac:dyDescent="0.2">
      <c r="C286" s="107" t="s">
        <v>315</v>
      </c>
      <c r="H286" s="58"/>
      <c r="J286" s="96" t="str">
        <f>IF(UnitsOfMeasure="Metric","€ / year","$ / year")</f>
        <v>$ / year</v>
      </c>
      <c r="K286" s="115">
        <f>IF(UnitsOfMeasure="Metric",T286,W286)</f>
        <v>500</v>
      </c>
      <c r="M286" s="115">
        <f>IF(UnitsOfMeasure="Metric",AC286,AF286)</f>
        <v>333.33333333333331</v>
      </c>
      <c r="O286" s="115">
        <f>IF(UnitsOfMeasure="Metric",AL286,AO286)</f>
        <v>833.33333333333326</v>
      </c>
      <c r="P286" s="89"/>
      <c r="Q286" s="298"/>
      <c r="R286" s="89"/>
      <c r="S286" s="89"/>
      <c r="T286" s="94">
        <f>(IF(AND(T30&lt;&gt;$B$23,T30&lt;&gt;$B$24),T81/(T105/12),IF(T30=$B$23,T81/(T151/12) +0.25*T81/(T125/12),T81/(T177/12)))+IF(OR(T30=$B$6,T30=$B$7,T30=$B$8,T30=$B$9,T30=$B$12,T30=$B$23,T30=$B$24),0,T81/(T231/12)))</f>
        <v>375.75</v>
      </c>
      <c r="U286" s="95" t="s">
        <v>455</v>
      </c>
      <c r="V286" s="50"/>
      <c r="W286" s="94">
        <f>(IF(AND(T30&lt;&gt;$B$23,T30&lt;&gt;$B$24),W81/(W105/12),IF(T30=$B$23,W81/(W151/12) +0.25*W81/(W125/12),W81/(W177/12)))+IF(OR(T30=$B$6,T30=$B$7,T30=$B$8,T30=$B$9,T30=$B$12,T30=$B$23,T30=$B$24),0,W81/(W231/12)))</f>
        <v>500</v>
      </c>
      <c r="X286" s="95" t="s">
        <v>454</v>
      </c>
      <c r="Y286" s="87"/>
      <c r="Z286" s="88"/>
      <c r="AA286" s="89"/>
      <c r="AB286" s="89"/>
      <c r="AC286" s="94">
        <f>(IF(AND(AC30&lt;&gt;$B$23,AC30&lt;&gt;$B$24),AC81/(AC105/12),IF(AC30=$B$23,AC81/(AC151/12) +0.25*AC81/(AC125/12),AC81/(AC177/12)))+IF(OR(AC30=$B$6,AC30=$B$7,AC30=$B$8,AC30=$B$9,AC30=$B$12,AC30=$B$23,AC30=$B$24),0,AC81/(AC231/12)))</f>
        <v>250.5</v>
      </c>
      <c r="AD286" s="95" t="s">
        <v>455</v>
      </c>
      <c r="AE286" s="50"/>
      <c r="AF286" s="94">
        <f>(IF(AND(AC30&lt;&gt;$B$23,AC30&lt;&gt;$B$24),AF81/(AF105/12),IF(AC30=$B$23,AF81/(AF151/12) +0.25*AF81/(AF125/12),AF81/(AF177/12)))+IF(OR(AC30=$B$6,AC30=$B$7,AC30=$B$8,AC30=$B$9,AC30=$B$12,AC30=$B$23,AC30=$B$24),0,AF81/(AF231/12)))</f>
        <v>333.33333333333331</v>
      </c>
      <c r="AG286" s="95" t="s">
        <v>454</v>
      </c>
      <c r="AH286" s="87"/>
      <c r="AI286" s="88"/>
      <c r="AJ286" s="89"/>
      <c r="AK286" s="89"/>
      <c r="AL286" s="94">
        <f>(IF(AND(AL30&lt;&gt;$B$23,AL30&lt;&gt;$B$24),AL81/(AL105/12),IF(AL30=$B$23,AL81/(AL151/12) +0.25*AL81/(AL125/12),AL81/(AL177/12)))+IF(OR(AL30=$B$6,AL30=$B$7,AL30=$B$8,AL30=$B$9,AL30=$B$12,AL30=$B$23,AL30=$B$24),0,AL81/(AL231/12)))</f>
        <v>626.25</v>
      </c>
      <c r="AM286" s="95" t="s">
        <v>455</v>
      </c>
      <c r="AN286" s="50"/>
      <c r="AO286" s="94">
        <f>(IF(AND(AL30&lt;&gt;$B$23,AL30&lt;&gt;$B$24),AO81/(AO105/12),IF(AL30=$B$23,AO81/(AO151/12) +0.25*AO81/(AO125/12),AO81/(AO177/12)))+IF(OR(AL30=$B$6,AL30=$B$7,AL30=$B$8,AL30=$B$9,AL30=$B$12,AL30=$B$23,AL30=$B$24),0,AO81/(AO231/12)))</f>
        <v>833.33333333333326</v>
      </c>
      <c r="AP286" s="95" t="s">
        <v>454</v>
      </c>
      <c r="AQ286" s="87"/>
      <c r="AR286" s="88"/>
      <c r="AS286" s="80"/>
    </row>
    <row r="287" spans="1:45" ht="3" customHeight="1" x14ac:dyDescent="0.2">
      <c r="H287" s="58"/>
      <c r="J287" s="97"/>
      <c r="P287" s="89"/>
      <c r="Q287" s="298"/>
      <c r="R287" s="89"/>
      <c r="S287" s="89"/>
      <c r="W287" s="58"/>
      <c r="Y287" s="87"/>
      <c r="Z287" s="88"/>
      <c r="AA287" s="89"/>
      <c r="AB287" s="89"/>
      <c r="AC287" s="58"/>
      <c r="AF287" s="58"/>
      <c r="AH287" s="87"/>
      <c r="AI287" s="88"/>
      <c r="AJ287" s="89"/>
      <c r="AK287" s="89"/>
      <c r="AL287" s="58"/>
      <c r="AO287" s="58"/>
      <c r="AQ287" s="87"/>
      <c r="AR287" s="88"/>
      <c r="AS287" s="81"/>
    </row>
    <row r="288" spans="1:45" ht="13.5" customHeight="1" x14ac:dyDescent="0.2">
      <c r="C288" s="107" t="s">
        <v>316</v>
      </c>
      <c r="H288" s="58"/>
      <c r="J288" s="96" t="str">
        <f>IF(UnitsOfMeasure="Metric","€ / year","$ / year")</f>
        <v>$ / year</v>
      </c>
      <c r="K288" s="115">
        <f>IF(UnitsOfMeasure="Metric",T288,W288)</f>
        <v>0</v>
      </c>
      <c r="M288" s="115">
        <f>IF(UnitsOfMeasure="Metric",AC288,AF288)</f>
        <v>0</v>
      </c>
      <c r="O288" s="115">
        <f>IF(UnitsOfMeasure="Metric",AL288,AO288)</f>
        <v>0</v>
      </c>
      <c r="P288" s="89"/>
      <c r="Q288" s="298"/>
      <c r="R288" s="89"/>
      <c r="S288" s="89"/>
      <c r="T288" s="94">
        <f>T83</f>
        <v>0</v>
      </c>
      <c r="U288" s="95" t="s">
        <v>455</v>
      </c>
      <c r="V288" s="50"/>
      <c r="W288" s="94">
        <f>W83</f>
        <v>0</v>
      </c>
      <c r="X288" s="95" t="s">
        <v>454</v>
      </c>
      <c r="Y288" s="87"/>
      <c r="Z288" s="88"/>
      <c r="AA288" s="89"/>
      <c r="AB288" s="89"/>
      <c r="AC288" s="94">
        <f>AC83</f>
        <v>0</v>
      </c>
      <c r="AD288" s="95" t="s">
        <v>455</v>
      </c>
      <c r="AE288" s="50"/>
      <c r="AF288" s="94">
        <f>AF83</f>
        <v>0</v>
      </c>
      <c r="AG288" s="95" t="s">
        <v>454</v>
      </c>
      <c r="AH288" s="87"/>
      <c r="AI288" s="88"/>
      <c r="AJ288" s="89"/>
      <c r="AK288" s="89"/>
      <c r="AL288" s="94">
        <f>AL83</f>
        <v>0</v>
      </c>
      <c r="AM288" s="95" t="s">
        <v>455</v>
      </c>
      <c r="AN288" s="50"/>
      <c r="AO288" s="94">
        <f>AO83</f>
        <v>0</v>
      </c>
      <c r="AP288" s="95" t="s">
        <v>454</v>
      </c>
      <c r="AQ288" s="87"/>
      <c r="AR288" s="88"/>
      <c r="AS288" s="80"/>
    </row>
    <row r="289" spans="2:45" ht="3" customHeight="1" x14ac:dyDescent="0.2">
      <c r="H289" s="58"/>
      <c r="J289" s="97"/>
      <c r="P289" s="89"/>
      <c r="Q289" s="298"/>
      <c r="R289" s="89"/>
      <c r="S289" s="89"/>
      <c r="W289" s="58"/>
      <c r="Y289" s="87"/>
      <c r="Z289" s="88"/>
      <c r="AA289" s="89"/>
      <c r="AB289" s="89"/>
      <c r="AC289" s="58"/>
      <c r="AF289" s="58"/>
      <c r="AH289" s="87"/>
      <c r="AI289" s="88"/>
      <c r="AJ289" s="89"/>
      <c r="AK289" s="89"/>
      <c r="AL289" s="58"/>
      <c r="AO289" s="58"/>
      <c r="AQ289" s="87"/>
      <c r="AR289" s="88"/>
      <c r="AS289" s="81"/>
    </row>
    <row r="290" spans="2:45" ht="13.5" customHeight="1" x14ac:dyDescent="0.2">
      <c r="C290" s="107" t="s">
        <v>317</v>
      </c>
      <c r="H290" s="43" t="s">
        <v>306</v>
      </c>
      <c r="J290" s="96" t="str">
        <f>IF(UnitsOfMeasure="Metric","€ / year","$ / year")</f>
        <v>$ / year</v>
      </c>
      <c r="K290" s="115">
        <f>IF(UnitsOfMeasure="Metric",T290,W290)</f>
        <v>129.81306468849107</v>
      </c>
      <c r="M290" s="115">
        <f>IF(UnitsOfMeasure="Metric",AC290,AF290)</f>
        <v>129.81306468849107</v>
      </c>
      <c r="O290" s="115">
        <f>IF(UnitsOfMeasure="Metric",AL290,AO290)</f>
        <v>1297.9080593254309</v>
      </c>
      <c r="P290" s="89"/>
      <c r="Q290" s="298"/>
      <c r="R290" s="89"/>
      <c r="S290" s="89"/>
      <c r="T290" s="94">
        <f>T317*24*T53*T79</f>
        <v>97.55432490726767</v>
      </c>
      <c r="U290" s="95" t="s">
        <v>455</v>
      </c>
      <c r="V290" s="50"/>
      <c r="W290" s="94">
        <f>$U$21*W317*24*W53*W79</f>
        <v>129.81306468849107</v>
      </c>
      <c r="X290" s="95" t="s">
        <v>454</v>
      </c>
      <c r="Y290" s="87"/>
      <c r="Z290" s="88"/>
      <c r="AA290" s="89"/>
      <c r="AB290" s="89"/>
      <c r="AC290" s="94">
        <f>AC317*24*AC53*AC79</f>
        <v>97.55432490726767</v>
      </c>
      <c r="AD290" s="95" t="s">
        <v>455</v>
      </c>
      <c r="AE290" s="50"/>
      <c r="AF290" s="94">
        <f>$U$21*AF317*24*AF53*AF79</f>
        <v>129.81306468849107</v>
      </c>
      <c r="AG290" s="95" t="s">
        <v>454</v>
      </c>
      <c r="AH290" s="87"/>
      <c r="AI290" s="88"/>
      <c r="AJ290" s="89"/>
      <c r="AK290" s="89"/>
      <c r="AL290" s="94">
        <f>AL317*24*AL53*AL79</f>
        <v>975.3759748530141</v>
      </c>
      <c r="AM290" s="95" t="s">
        <v>455</v>
      </c>
      <c r="AN290" s="50"/>
      <c r="AO290" s="94">
        <f>$U$21*AO317*24*AO53*AO79</f>
        <v>1297.9080593254309</v>
      </c>
      <c r="AP290" s="95" t="s">
        <v>454</v>
      </c>
      <c r="AQ290" s="87"/>
      <c r="AR290" s="88"/>
      <c r="AS290" s="80"/>
    </row>
    <row r="291" spans="2:45" ht="3" customHeight="1" x14ac:dyDescent="0.2">
      <c r="H291" s="58"/>
      <c r="J291" s="97"/>
      <c r="P291" s="89"/>
      <c r="Q291" s="298"/>
      <c r="R291" s="89"/>
      <c r="S291" s="89"/>
      <c r="W291" s="58"/>
      <c r="Y291" s="87"/>
      <c r="Z291" s="88"/>
      <c r="AA291" s="89"/>
      <c r="AB291" s="89"/>
      <c r="AC291" s="58"/>
      <c r="AF291" s="58"/>
      <c r="AH291" s="87"/>
      <c r="AI291" s="88"/>
      <c r="AJ291" s="89"/>
      <c r="AK291" s="89"/>
      <c r="AL291" s="58"/>
      <c r="AO291" s="58"/>
      <c r="AQ291" s="87"/>
      <c r="AR291" s="88"/>
      <c r="AS291" s="81"/>
    </row>
    <row r="292" spans="2:45" x14ac:dyDescent="0.2">
      <c r="H292" s="43" t="s">
        <v>307</v>
      </c>
      <c r="J292" s="96" t="str">
        <f>IF(UnitsOfMeasure="Metric","€ / year","$ / year")</f>
        <v>$ / year</v>
      </c>
      <c r="K292" s="115">
        <f>IF(UnitsOfMeasure="Metric",T292,W292)</f>
        <v>2640.1145357549904</v>
      </c>
      <c r="M292" s="115">
        <f>IF(UnitsOfMeasure="Metric",AC292,AF292)</f>
        <v>6619.1175562216449</v>
      </c>
      <c r="O292" s="115">
        <f>IF(UnitsOfMeasure="Metric",AL292,AO292)</f>
        <v>0</v>
      </c>
      <c r="P292" s="89"/>
      <c r="Q292" s="298"/>
      <c r="R292" s="89"/>
      <c r="S292" s="89"/>
      <c r="T292" s="94">
        <f>T319*24*T53*T79</f>
        <v>1984.0454570259883</v>
      </c>
      <c r="U292" s="95" t="s">
        <v>455</v>
      </c>
      <c r="V292" s="50"/>
      <c r="W292" s="94">
        <f>$U$21*W319*24*W53*W79</f>
        <v>2640.1145357549904</v>
      </c>
      <c r="X292" s="95" t="s">
        <v>454</v>
      </c>
      <c r="Y292" s="87"/>
      <c r="Z292" s="88"/>
      <c r="AA292" s="89"/>
      <c r="AB292" s="89"/>
      <c r="AC292" s="94">
        <f>AC319*24*AC53*AC79</f>
        <v>4974.2650636283188</v>
      </c>
      <c r="AD292" s="95" t="s">
        <v>455</v>
      </c>
      <c r="AE292" s="50"/>
      <c r="AF292" s="94">
        <f>$U$21*AF319*24*AF53*AF79</f>
        <v>6619.1175562216449</v>
      </c>
      <c r="AG292" s="95" t="s">
        <v>454</v>
      </c>
      <c r="AH292" s="87"/>
      <c r="AI292" s="88"/>
      <c r="AJ292" s="89"/>
      <c r="AK292" s="89"/>
      <c r="AL292" s="94">
        <f>AL319*24*AL53*AL79</f>
        <v>0</v>
      </c>
      <c r="AM292" s="95" t="s">
        <v>455</v>
      </c>
      <c r="AN292" s="50"/>
      <c r="AO292" s="94">
        <f>$U$21*AO319*24*AO53*AO79</f>
        <v>0</v>
      </c>
      <c r="AP292" s="95" t="s">
        <v>454</v>
      </c>
      <c r="AQ292" s="87"/>
      <c r="AR292" s="88"/>
      <c r="AS292" s="80"/>
    </row>
    <row r="293" spans="2:45" ht="3" customHeight="1" x14ac:dyDescent="0.2">
      <c r="J293" s="97"/>
      <c r="P293" s="89"/>
      <c r="Q293" s="298"/>
      <c r="R293" s="89"/>
      <c r="S293" s="89"/>
      <c r="W293" s="58"/>
      <c r="Y293" s="87"/>
      <c r="Z293" s="88"/>
      <c r="AA293" s="89"/>
      <c r="AB293" s="89"/>
      <c r="AC293" s="58"/>
      <c r="AF293" s="58"/>
      <c r="AH293" s="87"/>
      <c r="AI293" s="88"/>
      <c r="AJ293" s="89"/>
      <c r="AK293" s="89"/>
      <c r="AL293" s="58"/>
      <c r="AO293" s="58"/>
      <c r="AQ293" s="87"/>
      <c r="AR293" s="88"/>
      <c r="AS293" s="81"/>
    </row>
    <row r="294" spans="2:45" x14ac:dyDescent="0.2">
      <c r="H294" s="43" t="s">
        <v>308</v>
      </c>
      <c r="J294" s="96" t="str">
        <f>IF(UnitsOfMeasure="Metric","€ / year","$ / year")</f>
        <v>$ / year</v>
      </c>
      <c r="K294" s="115">
        <f>IF(UnitsOfMeasure="Metric",T294,W294)</f>
        <v>2769.9276004434814</v>
      </c>
      <c r="M294" s="115">
        <f>IF(UnitsOfMeasure="Metric",AC294,AF294)</f>
        <v>0</v>
      </c>
      <c r="O294" s="115">
        <f>IF(UnitsOfMeasure="Metric",AL294,AO294)</f>
        <v>0</v>
      </c>
      <c r="P294" s="89"/>
      <c r="Q294" s="298"/>
      <c r="R294" s="89"/>
      <c r="S294" s="89"/>
      <c r="T294" s="94">
        <f>T329*24*T53*T79</f>
        <v>2081.5997819332565</v>
      </c>
      <c r="U294" s="95" t="s">
        <v>455</v>
      </c>
      <c r="V294" s="50"/>
      <c r="W294" s="94">
        <f>$U$21*W329*24*W53*W79</f>
        <v>2769.9276004434814</v>
      </c>
      <c r="X294" s="95" t="s">
        <v>454</v>
      </c>
      <c r="Y294" s="87"/>
      <c r="Z294" s="88"/>
      <c r="AA294" s="89"/>
      <c r="AB294" s="89"/>
      <c r="AC294" s="94">
        <f>AC329*24*AC53*AC79</f>
        <v>0</v>
      </c>
      <c r="AD294" s="95" t="s">
        <v>455</v>
      </c>
      <c r="AE294" s="50"/>
      <c r="AF294" s="94">
        <f>$U$21*AF329*24*AF53*AF79</f>
        <v>0</v>
      </c>
      <c r="AG294" s="95" t="s">
        <v>454</v>
      </c>
      <c r="AH294" s="87"/>
      <c r="AI294" s="88"/>
      <c r="AJ294" s="89"/>
      <c r="AK294" s="89"/>
      <c r="AL294" s="94">
        <f>AL329*24*AL53*AL79</f>
        <v>0</v>
      </c>
      <c r="AM294" s="95" t="s">
        <v>455</v>
      </c>
      <c r="AN294" s="50"/>
      <c r="AO294" s="94">
        <f>$U$21*AO329*24*AO53*AO79</f>
        <v>0</v>
      </c>
      <c r="AP294" s="95" t="s">
        <v>454</v>
      </c>
      <c r="AQ294" s="87"/>
      <c r="AR294" s="88"/>
      <c r="AS294" s="80"/>
    </row>
    <row r="295" spans="2:45" ht="3" customHeight="1" x14ac:dyDescent="0.2">
      <c r="J295" s="97"/>
      <c r="P295" s="89"/>
      <c r="Q295" s="298"/>
      <c r="R295" s="89"/>
      <c r="S295" s="89"/>
      <c r="W295" s="58"/>
      <c r="Y295" s="87"/>
      <c r="Z295" s="88"/>
      <c r="AA295" s="89"/>
      <c r="AB295" s="89"/>
      <c r="AC295" s="58"/>
      <c r="AF295" s="58"/>
      <c r="AH295" s="87"/>
      <c r="AI295" s="88"/>
      <c r="AJ295" s="89"/>
      <c r="AK295" s="89"/>
      <c r="AL295" s="58"/>
      <c r="AO295" s="58"/>
      <c r="AQ295" s="87"/>
      <c r="AR295" s="88"/>
      <c r="AS295" s="81"/>
    </row>
    <row r="296" spans="2:45" x14ac:dyDescent="0.2">
      <c r="I296" s="58" t="s">
        <v>309</v>
      </c>
      <c r="J296" s="96" t="str">
        <f>IF(UnitsOfMeasure="Metric","€ / year","$ / year")</f>
        <v>$ / year</v>
      </c>
      <c r="K296" s="115">
        <f>IF(UnitsOfMeasure="Metric",T296,W296)</f>
        <v>0</v>
      </c>
      <c r="M296" s="115">
        <f>IF(UnitsOfMeasure="Metric",AC296,AF296)</f>
        <v>0</v>
      </c>
      <c r="O296" s="115">
        <f>IF(UnitsOfMeasure="Metric",AL296,AO296)</f>
        <v>0</v>
      </c>
      <c r="P296" s="89"/>
      <c r="Q296" s="298"/>
      <c r="R296" s="89"/>
      <c r="S296" s="89"/>
      <c r="T296" s="94">
        <f>T339*24*T53*T79</f>
        <v>0</v>
      </c>
      <c r="U296" s="95" t="s">
        <v>455</v>
      </c>
      <c r="V296" s="50"/>
      <c r="W296" s="94">
        <f>$U$21*W339*24*W53*W79</f>
        <v>0</v>
      </c>
      <c r="X296" s="95" t="s">
        <v>454</v>
      </c>
      <c r="Y296" s="87"/>
      <c r="Z296" s="88"/>
      <c r="AA296" s="89"/>
      <c r="AB296" s="89"/>
      <c r="AC296" s="94">
        <f>AC339*24*AC53*AC79</f>
        <v>0</v>
      </c>
      <c r="AD296" s="95" t="s">
        <v>455</v>
      </c>
      <c r="AE296" s="50"/>
      <c r="AF296" s="94">
        <f>$U$21*AF339*24*AF53*AF79</f>
        <v>0</v>
      </c>
      <c r="AG296" s="95" t="s">
        <v>454</v>
      </c>
      <c r="AH296" s="87"/>
      <c r="AI296" s="88"/>
      <c r="AJ296" s="89"/>
      <c r="AK296" s="89"/>
      <c r="AL296" s="94">
        <f>AL339*24*AL53*AL79</f>
        <v>0</v>
      </c>
      <c r="AM296" s="95" t="s">
        <v>455</v>
      </c>
      <c r="AN296" s="50"/>
      <c r="AO296" s="94">
        <f>$U$21*AO339*24*AO53*AO79</f>
        <v>0</v>
      </c>
      <c r="AP296" s="95" t="s">
        <v>454</v>
      </c>
      <c r="AQ296" s="87"/>
      <c r="AR296" s="88"/>
      <c r="AS296" s="80"/>
    </row>
    <row r="297" spans="2:45" ht="3" customHeight="1" x14ac:dyDescent="0.2">
      <c r="J297" s="97"/>
      <c r="P297" s="89"/>
      <c r="Q297" s="298"/>
      <c r="R297" s="89"/>
      <c r="S297" s="89"/>
      <c r="W297" s="58"/>
      <c r="Y297" s="87"/>
      <c r="Z297" s="88"/>
      <c r="AA297" s="89"/>
      <c r="AB297" s="89"/>
      <c r="AC297" s="58"/>
      <c r="AF297" s="58"/>
      <c r="AH297" s="87"/>
      <c r="AI297" s="88"/>
      <c r="AJ297" s="89"/>
      <c r="AK297" s="89"/>
      <c r="AL297" s="58"/>
      <c r="AO297" s="58"/>
      <c r="AQ297" s="87"/>
      <c r="AR297" s="88"/>
      <c r="AS297" s="81"/>
    </row>
    <row r="298" spans="2:45" ht="14.25" customHeight="1" x14ac:dyDescent="0.2">
      <c r="C298" s="107" t="s">
        <v>318</v>
      </c>
      <c r="J298" s="96" t="str">
        <f>IF(UnitsOfMeasure="Metric","€ / year","$ / year")</f>
        <v>$ / year</v>
      </c>
      <c r="K298" s="115">
        <f>IF(UnitsOfMeasure="Metric",T298,W298)</f>
        <v>0</v>
      </c>
      <c r="M298" s="115">
        <f>IF(UnitsOfMeasure="Metric",AC298,AF298)</f>
        <v>0</v>
      </c>
      <c r="O298" s="115">
        <f>IF(UnitsOfMeasure="Metric",AL298,AO298)</f>
        <v>0</v>
      </c>
      <c r="P298" s="89"/>
      <c r="Q298" s="298"/>
      <c r="R298" s="89"/>
      <c r="S298" s="89"/>
      <c r="T298" s="94">
        <f>T345*24*T53*T79</f>
        <v>0</v>
      </c>
      <c r="U298" s="95" t="s">
        <v>455</v>
      </c>
      <c r="V298" s="50"/>
      <c r="W298" s="94">
        <f>$U$21*W345*24*W53*W79</f>
        <v>0</v>
      </c>
      <c r="X298" s="95" t="s">
        <v>454</v>
      </c>
      <c r="Y298" s="87"/>
      <c r="Z298" s="88"/>
      <c r="AA298" s="89"/>
      <c r="AB298" s="89"/>
      <c r="AC298" s="94">
        <f>AC345*24*AC53*AC79</f>
        <v>0</v>
      </c>
      <c r="AD298" s="95" t="s">
        <v>455</v>
      </c>
      <c r="AE298" s="50"/>
      <c r="AF298" s="94">
        <f>$U$21*AF345*24*AF53*AF79</f>
        <v>0</v>
      </c>
      <c r="AG298" s="95" t="s">
        <v>454</v>
      </c>
      <c r="AH298" s="87"/>
      <c r="AI298" s="88"/>
      <c r="AJ298" s="89"/>
      <c r="AK298" s="89"/>
      <c r="AL298" s="94">
        <f>AL345*24*AL53*AL79</f>
        <v>0</v>
      </c>
      <c r="AM298" s="95" t="s">
        <v>455</v>
      </c>
      <c r="AN298" s="50"/>
      <c r="AO298" s="94">
        <f>$U$21*AO345*24*AO53*AO79</f>
        <v>0</v>
      </c>
      <c r="AP298" s="95" t="s">
        <v>454</v>
      </c>
      <c r="AQ298" s="87"/>
      <c r="AR298" s="88"/>
      <c r="AS298" s="80"/>
    </row>
    <row r="299" spans="2:45" ht="14.25" customHeight="1" x14ac:dyDescent="0.2">
      <c r="J299" s="97"/>
      <c r="P299" s="89"/>
      <c r="Q299" s="298"/>
      <c r="R299" s="89"/>
      <c r="S299" s="89"/>
      <c r="W299" s="58"/>
      <c r="Y299" s="87"/>
      <c r="Z299" s="88"/>
      <c r="AA299" s="89"/>
      <c r="AB299" s="89"/>
      <c r="AC299" s="58"/>
      <c r="AF299" s="58"/>
      <c r="AH299" s="87"/>
      <c r="AI299" s="88"/>
      <c r="AJ299" s="89"/>
      <c r="AK299" s="89"/>
      <c r="AL299" s="58"/>
      <c r="AO299" s="58"/>
      <c r="AQ299" s="87"/>
      <c r="AR299" s="88"/>
      <c r="AS299" s="81"/>
    </row>
    <row r="300" spans="2:45" ht="25.5" customHeight="1" x14ac:dyDescent="0.2">
      <c r="B300" s="106" t="s">
        <v>310</v>
      </c>
      <c r="P300" s="89"/>
      <c r="Q300" s="298"/>
      <c r="R300" s="89"/>
      <c r="W300" s="58"/>
      <c r="Y300" s="87"/>
      <c r="Z300" s="88"/>
      <c r="AA300" s="89"/>
      <c r="AC300" s="58"/>
      <c r="AF300" s="58"/>
      <c r="AH300" s="87"/>
      <c r="AI300" s="88"/>
      <c r="AJ300" s="89"/>
      <c r="AL300" s="58"/>
      <c r="AO300" s="58"/>
      <c r="AQ300" s="87"/>
      <c r="AR300" s="88"/>
      <c r="AS300" s="80"/>
    </row>
    <row r="301" spans="2:45" ht="3.75" customHeight="1" x14ac:dyDescent="0.2">
      <c r="P301" s="89"/>
      <c r="Q301" s="298"/>
      <c r="R301" s="89"/>
      <c r="W301" s="58"/>
      <c r="Y301" s="87"/>
      <c r="Z301" s="88"/>
      <c r="AA301" s="89"/>
      <c r="AC301" s="58"/>
      <c r="AF301" s="58"/>
      <c r="AH301" s="87"/>
      <c r="AI301" s="88"/>
      <c r="AJ301" s="89"/>
      <c r="AL301" s="58"/>
      <c r="AO301" s="58"/>
      <c r="AQ301" s="87"/>
      <c r="AR301" s="88"/>
      <c r="AS301" s="81"/>
    </row>
    <row r="302" spans="2:45" ht="14.25" customHeight="1" x14ac:dyDescent="0.2">
      <c r="C302" s="107" t="s">
        <v>319</v>
      </c>
      <c r="J302" s="44" t="str">
        <f>IF(UnitsOfMeasure="Metric","€","$")</f>
        <v>$</v>
      </c>
      <c r="K302" s="115">
        <f>IF(UnitsOfMeasure="Metric",T302,W302)</f>
        <v>1312.5</v>
      </c>
      <c r="M302" s="115">
        <f>IF(UnitsOfMeasure="Metric",AC302,AF302)</f>
        <v>1312.5</v>
      </c>
      <c r="O302" s="115">
        <f>IF(UnitsOfMeasure="Metric",AL302,AO302)</f>
        <v>682.5</v>
      </c>
      <c r="P302" s="89"/>
      <c r="Q302" s="298"/>
      <c r="R302" s="89"/>
      <c r="S302" s="89"/>
      <c r="T302" s="94">
        <f>IF(T30=$B$23,T51*(T121+T153),IF(T30=$B$24,T175,T51*(T99+T227)))</f>
        <v>986.34374999999989</v>
      </c>
      <c r="U302" s="95" t="s">
        <v>279</v>
      </c>
      <c r="V302" s="50"/>
      <c r="W302" s="94">
        <f>IF(T30=$B$23,W51*(W121+W153),IF(T30=$B$24,W175,W51*(W99+W227)))</f>
        <v>1312.5</v>
      </c>
      <c r="X302" s="95" t="s">
        <v>205</v>
      </c>
      <c r="Y302" s="87"/>
      <c r="Z302" s="88"/>
      <c r="AA302" s="89"/>
      <c r="AB302" s="89"/>
      <c r="AC302" s="94">
        <f>IF(AC30=$B$23,AC51*(AC121+AC153),IF(AC30=$B$24,AC175,AC51*(AC99+AC227)))</f>
        <v>986.34374999999989</v>
      </c>
      <c r="AD302" s="95" t="s">
        <v>279</v>
      </c>
      <c r="AE302" s="50"/>
      <c r="AF302" s="94">
        <f>IF(AC30=$B$23,AF51*(AF121+AF153),IF(AC30=$B$24,AF175,AF51*(AF99+AF227)))</f>
        <v>1312.5</v>
      </c>
      <c r="AG302" s="95" t="s">
        <v>205</v>
      </c>
      <c r="AH302" s="87"/>
      <c r="AI302" s="88"/>
      <c r="AJ302" s="89"/>
      <c r="AK302" s="89"/>
      <c r="AL302" s="94">
        <f>IF(AL30=$B$23,AL51*(AL121+AL153),IF(AL30=$B$24,AL175,AL51*(AL99+AL227)))</f>
        <v>512.89874999999995</v>
      </c>
      <c r="AM302" s="95" t="s">
        <v>279</v>
      </c>
      <c r="AN302" s="50"/>
      <c r="AO302" s="94">
        <f>IF(AL30=$B$23,AO51*(AO121+AO153),IF(AL30=$B$24,AO175,AO51*(AO99+AO227)))</f>
        <v>682.5</v>
      </c>
      <c r="AP302" s="95" t="s">
        <v>205</v>
      </c>
      <c r="AQ302" s="87"/>
      <c r="AR302" s="88"/>
      <c r="AS302" s="80"/>
    </row>
    <row r="303" spans="2:45" ht="3.75" customHeight="1" x14ac:dyDescent="0.2">
      <c r="P303" s="89"/>
      <c r="Q303" s="298"/>
      <c r="R303" s="89"/>
      <c r="S303" s="89"/>
      <c r="W303" s="58"/>
      <c r="Y303" s="87"/>
      <c r="Z303" s="88"/>
      <c r="AA303" s="89"/>
      <c r="AB303" s="89"/>
      <c r="AC303" s="58"/>
      <c r="AF303" s="58"/>
      <c r="AH303" s="87"/>
      <c r="AI303" s="88"/>
      <c r="AJ303" s="89"/>
      <c r="AK303" s="89"/>
      <c r="AL303" s="58"/>
      <c r="AO303" s="58"/>
      <c r="AQ303" s="87"/>
      <c r="AR303" s="88"/>
      <c r="AS303" s="81"/>
    </row>
    <row r="304" spans="2:45" ht="14.25" customHeight="1" x14ac:dyDescent="0.2">
      <c r="C304" s="107" t="s">
        <v>320</v>
      </c>
      <c r="J304" s="44" t="str">
        <f>IF(UnitsOfMeasure="Metric","€","$")</f>
        <v>$</v>
      </c>
      <c r="K304" s="115">
        <f>IF(UnitsOfMeasure="Metric",T304,W304)</f>
        <v>0</v>
      </c>
      <c r="M304" s="115">
        <f>IF(UnitsOfMeasure="Metric",AC304,AF304)</f>
        <v>0</v>
      </c>
      <c r="O304" s="115">
        <f>IF(UnitsOfMeasure="Metric",AL304,AO304)</f>
        <v>0</v>
      </c>
      <c r="P304" s="89"/>
      <c r="Q304" s="298"/>
      <c r="R304" s="89"/>
      <c r="S304" s="89"/>
      <c r="T304" s="94">
        <f>IF(OR(T30=$B$23,T30=$B$24),0,T103)</f>
        <v>0</v>
      </c>
      <c r="U304" s="95" t="s">
        <v>279</v>
      </c>
      <c r="V304" s="50"/>
      <c r="W304" s="94">
        <f>IF(OR(T30=$B$23,T30=$B$24),0,W103)</f>
        <v>0</v>
      </c>
      <c r="X304" s="95" t="s">
        <v>205</v>
      </c>
      <c r="Y304" s="87"/>
      <c r="Z304" s="88"/>
      <c r="AA304" s="89"/>
      <c r="AB304" s="89"/>
      <c r="AC304" s="94">
        <f>IF(OR(AC30=$B$23,AC30=$B$24),0,AC103)</f>
        <v>0</v>
      </c>
      <c r="AD304" s="95" t="s">
        <v>279</v>
      </c>
      <c r="AE304" s="50"/>
      <c r="AF304" s="94">
        <f>IF(OR(AC30=$B$23,AC30=$B$24),0,AF103)</f>
        <v>0</v>
      </c>
      <c r="AG304" s="95" t="s">
        <v>205</v>
      </c>
      <c r="AH304" s="87"/>
      <c r="AI304" s="88"/>
      <c r="AJ304" s="89"/>
      <c r="AK304" s="89"/>
      <c r="AL304" s="94">
        <f>IF(OR(AL30=$B$23,AL30=$B$24),0,AL103)</f>
        <v>0</v>
      </c>
      <c r="AM304" s="95" t="s">
        <v>279</v>
      </c>
      <c r="AN304" s="50"/>
      <c r="AO304" s="94">
        <f>IF(OR(AL30=$B$23,AL30=$B$24),0,AO103)</f>
        <v>0</v>
      </c>
      <c r="AP304" s="95" t="s">
        <v>205</v>
      </c>
      <c r="AQ304" s="87"/>
      <c r="AR304" s="88"/>
      <c r="AS304" s="80"/>
    </row>
    <row r="305" spans="2:45" ht="3.75" customHeight="1" x14ac:dyDescent="0.2">
      <c r="P305" s="89"/>
      <c r="Q305" s="298"/>
      <c r="R305" s="89"/>
      <c r="S305" s="89"/>
      <c r="W305" s="58"/>
      <c r="Y305" s="87"/>
      <c r="Z305" s="88"/>
      <c r="AA305" s="89"/>
      <c r="AB305" s="89"/>
      <c r="AC305" s="58"/>
      <c r="AF305" s="58"/>
      <c r="AH305" s="87"/>
      <c r="AI305" s="88"/>
      <c r="AJ305" s="89"/>
      <c r="AK305" s="89"/>
      <c r="AL305" s="58"/>
      <c r="AO305" s="58"/>
      <c r="AQ305" s="87"/>
      <c r="AR305" s="88"/>
      <c r="AS305" s="81"/>
    </row>
    <row r="306" spans="2:45" ht="14.25" customHeight="1" x14ac:dyDescent="0.2">
      <c r="C306" s="107" t="s">
        <v>321</v>
      </c>
      <c r="J306" s="44" t="str">
        <f>IF(UnitsOfMeasure="Metric","€","$")</f>
        <v>$</v>
      </c>
      <c r="K306" s="115">
        <f>IF(UnitsOfMeasure="Metric",T306,W306)</f>
        <v>0</v>
      </c>
      <c r="M306" s="115">
        <f>IF(UnitsOfMeasure="Metric",AC306,AF306)</f>
        <v>0</v>
      </c>
      <c r="O306" s="115">
        <f>IF(UnitsOfMeasure="Metric",AL306,AO306)</f>
        <v>612.5</v>
      </c>
      <c r="P306" s="89"/>
      <c r="Q306" s="298"/>
      <c r="R306" s="89"/>
      <c r="S306" s="89"/>
      <c r="T306" s="94">
        <f>IF(T30=$B$23,T51*T157,IF(T30=$B$24,T175*T183,T51*(T109+T235)))</f>
        <v>0</v>
      </c>
      <c r="U306" s="95" t="s">
        <v>279</v>
      </c>
      <c r="V306" s="50"/>
      <c r="W306" s="94">
        <f>IF(T30=$B$23,W51*W153,IF(T30=$B$24,W175*W183,W51*(W109+W235)))</f>
        <v>0</v>
      </c>
      <c r="X306" s="95" t="s">
        <v>205</v>
      </c>
      <c r="Y306" s="87"/>
      <c r="Z306" s="88"/>
      <c r="AA306" s="89"/>
      <c r="AB306" s="89"/>
      <c r="AC306" s="94">
        <f>IF(AC30=$B$23,AC51*AC157,IF(AC30=$B$24,AC175*AC183,AC51*(AC109+AC235)))</f>
        <v>0</v>
      </c>
      <c r="AD306" s="95" t="s">
        <v>279</v>
      </c>
      <c r="AE306" s="50"/>
      <c r="AF306" s="94">
        <f>IF(AC30=$B$23,AF51*AF153,IF(AC30=$B$24,AF175*AF183,AF51*(AF109+AF235)))</f>
        <v>0</v>
      </c>
      <c r="AG306" s="95" t="s">
        <v>205</v>
      </c>
      <c r="AH306" s="87"/>
      <c r="AI306" s="88"/>
      <c r="AJ306" s="89"/>
      <c r="AK306" s="89"/>
      <c r="AL306" s="94">
        <f>IF(AL30=$B$23,AL51*AL157,IF(AL30=$B$24,AL175*AL183,AL51*(AL109+AL235)))</f>
        <v>0</v>
      </c>
      <c r="AM306" s="95" t="s">
        <v>279</v>
      </c>
      <c r="AN306" s="50"/>
      <c r="AO306" s="94">
        <f>IF(AL30=$B$23,AO51*AO153,IF(AL30=$B$24,AO175*AO183,AO51*(AO109+AO235)))</f>
        <v>612.5</v>
      </c>
      <c r="AP306" s="95" t="s">
        <v>205</v>
      </c>
      <c r="AQ306" s="87"/>
      <c r="AR306" s="88"/>
      <c r="AS306" s="80"/>
    </row>
    <row r="307" spans="2:45" ht="14.25" customHeight="1" x14ac:dyDescent="0.2">
      <c r="P307" s="89"/>
      <c r="Q307" s="298"/>
      <c r="R307" s="89"/>
      <c r="S307" s="89"/>
      <c r="W307" s="58"/>
      <c r="Y307" s="87"/>
      <c r="Z307" s="88"/>
      <c r="AA307" s="89"/>
      <c r="AB307" s="89"/>
      <c r="AC307" s="58"/>
      <c r="AF307" s="58"/>
      <c r="AH307" s="87"/>
      <c r="AI307" s="88"/>
      <c r="AJ307" s="89"/>
      <c r="AK307" s="89"/>
      <c r="AL307" s="58"/>
      <c r="AO307" s="58"/>
      <c r="AQ307" s="87"/>
      <c r="AR307" s="88"/>
      <c r="AS307" s="81"/>
    </row>
    <row r="308" spans="2:45" ht="24.75" customHeight="1" x14ac:dyDescent="0.2">
      <c r="B308" s="106" t="s">
        <v>311</v>
      </c>
      <c r="P308" s="89"/>
      <c r="Q308" s="298"/>
      <c r="R308" s="89"/>
      <c r="W308" s="58"/>
      <c r="Y308" s="87"/>
      <c r="Z308" s="88"/>
      <c r="AA308" s="89"/>
      <c r="AC308" s="58"/>
      <c r="AF308" s="58"/>
      <c r="AH308" s="87"/>
      <c r="AI308" s="88"/>
      <c r="AJ308" s="89"/>
      <c r="AL308" s="58"/>
      <c r="AO308" s="58"/>
      <c r="AQ308" s="87"/>
      <c r="AR308" s="88"/>
      <c r="AS308" s="80"/>
    </row>
    <row r="309" spans="2:45" ht="3" customHeight="1" x14ac:dyDescent="0.2">
      <c r="P309" s="89"/>
      <c r="Q309" s="298"/>
      <c r="R309" s="89"/>
      <c r="W309" s="58"/>
      <c r="Y309" s="87"/>
      <c r="Z309" s="88"/>
      <c r="AA309" s="89"/>
      <c r="AC309" s="58"/>
      <c r="AF309" s="58"/>
      <c r="AH309" s="87"/>
      <c r="AI309" s="88"/>
      <c r="AJ309" s="89"/>
      <c r="AL309" s="58"/>
      <c r="AO309" s="58"/>
      <c r="AQ309" s="87"/>
      <c r="AR309" s="88"/>
      <c r="AS309" s="81"/>
    </row>
    <row r="310" spans="2:45" ht="14.25" customHeight="1" x14ac:dyDescent="0.2">
      <c r="C310" s="107" t="s">
        <v>322</v>
      </c>
      <c r="J310" s="44" t="str">
        <f>IF(UnitsOfMeasure="Metric","€","$")</f>
        <v>$</v>
      </c>
      <c r="K310" s="115">
        <f>IF(UnitsOfMeasure="Metric",T310,W310)</f>
        <v>1312.5</v>
      </c>
      <c r="M310" s="115">
        <f>IF(UnitsOfMeasure="Metric",AC310,AF310)</f>
        <v>1312.5</v>
      </c>
      <c r="O310" s="115">
        <f>IF(UnitsOfMeasure="Metric",AL310,AO310)</f>
        <v>682.5</v>
      </c>
      <c r="P310" s="89"/>
      <c r="Q310" s="298"/>
      <c r="R310" s="89"/>
      <c r="S310" s="89"/>
      <c r="T310" s="94">
        <f>T302+T304</f>
        <v>986.34374999999989</v>
      </c>
      <c r="U310" s="95" t="s">
        <v>279</v>
      </c>
      <c r="V310" s="50"/>
      <c r="W310" s="94">
        <f>W302+W304</f>
        <v>1312.5</v>
      </c>
      <c r="X310" s="95" t="s">
        <v>205</v>
      </c>
      <c r="Y310" s="87"/>
      <c r="Z310" s="88"/>
      <c r="AA310" s="89"/>
      <c r="AB310" s="89"/>
      <c r="AC310" s="94">
        <f>AC302+AC304</f>
        <v>986.34374999999989</v>
      </c>
      <c r="AD310" s="95" t="s">
        <v>279</v>
      </c>
      <c r="AE310" s="50"/>
      <c r="AF310" s="94">
        <f>AF302+AF304</f>
        <v>1312.5</v>
      </c>
      <c r="AG310" s="95" t="s">
        <v>205</v>
      </c>
      <c r="AH310" s="87"/>
      <c r="AI310" s="88"/>
      <c r="AJ310" s="89"/>
      <c r="AK310" s="89"/>
      <c r="AL310" s="94">
        <f>AL302+AL304</f>
        <v>512.89874999999995</v>
      </c>
      <c r="AM310" s="95" t="s">
        <v>279</v>
      </c>
      <c r="AN310" s="50"/>
      <c r="AO310" s="94">
        <f>AO302+AO304</f>
        <v>682.5</v>
      </c>
      <c r="AP310" s="95" t="s">
        <v>205</v>
      </c>
      <c r="AQ310" s="87"/>
      <c r="AR310" s="88"/>
      <c r="AS310" s="80"/>
    </row>
    <row r="311" spans="2:45" ht="3" customHeight="1" x14ac:dyDescent="0.2">
      <c r="P311" s="89"/>
      <c r="Q311" s="298"/>
      <c r="R311" s="89"/>
      <c r="S311" s="89"/>
      <c r="W311" s="58"/>
      <c r="Y311" s="87"/>
      <c r="Z311" s="88"/>
      <c r="AA311" s="89"/>
      <c r="AB311" s="89"/>
      <c r="AC311" s="58"/>
      <c r="AF311" s="58"/>
      <c r="AH311" s="87"/>
      <c r="AI311" s="88"/>
      <c r="AJ311" s="89"/>
      <c r="AK311" s="89"/>
      <c r="AL311" s="58"/>
      <c r="AO311" s="58"/>
      <c r="AQ311" s="87"/>
      <c r="AR311" s="88"/>
      <c r="AS311" s="81"/>
    </row>
    <row r="312" spans="2:45" ht="14.25" customHeight="1" x14ac:dyDescent="0.2">
      <c r="C312" s="107" t="s">
        <v>329</v>
      </c>
      <c r="J312" s="44" t="str">
        <f>IF(UnitsOfMeasure="Metric","€","$")</f>
        <v>$</v>
      </c>
      <c r="K312" s="115">
        <f>IF(UnitsOfMeasure="Metric",T312,W312)</f>
        <v>54406.631138169461</v>
      </c>
      <c r="M312" s="115">
        <f>IF(UnitsOfMeasure="Metric",AC312,AF312)</f>
        <v>65928.009709614649</v>
      </c>
      <c r="O312" s="115">
        <f>IF(UnitsOfMeasure="Metric",AL312,AO312)</f>
        <v>45485.589693263588</v>
      </c>
      <c r="P312" s="89"/>
      <c r="Q312" s="298"/>
      <c r="R312" s="89"/>
      <c r="S312" s="89"/>
      <c r="T312" s="94">
        <f>PV(T35,T55,-(SUM(T250:T264)+T268+T270+T272+T276+T278+T282+T284+T286+T288+T290+T292+T294+T296+T298))</f>
        <v>40886.570597585931</v>
      </c>
      <c r="U312" s="95" t="s">
        <v>279</v>
      </c>
      <c r="V312" s="50"/>
      <c r="W312" s="94">
        <f>PV(W35,W55,-(SUM(W250:W264)+W268+W270+W272+W276+W278+W282+W284+W286+W288+W290+W292+W294+W296+W298))</f>
        <v>54406.631138169461</v>
      </c>
      <c r="X312" s="95" t="s">
        <v>205</v>
      </c>
      <c r="Y312" s="87"/>
      <c r="Z312" s="88"/>
      <c r="AA312" s="89"/>
      <c r="AB312" s="89"/>
      <c r="AC312" s="94">
        <f>PV(AC35,AC55,-(SUM(AC250:AC264)+AC268+AC270+AC272+AC276+AC278+AC282+AC284+AC286+AC288+AC290+AC292+AC294+AC296+AC298))</f>
        <v>49544.883821647192</v>
      </c>
      <c r="AD312" s="95" t="s">
        <v>279</v>
      </c>
      <c r="AE312" s="50"/>
      <c r="AF312" s="94">
        <f>PV(AF35,AF55,-(SUM(AF250:AF264)+AF268+AF270+AF272+AF276+AF278+AF282+AF284+AF286+AF288+AF290+AF292+AF294+AF296+AF298))</f>
        <v>65928.009709614649</v>
      </c>
      <c r="AG312" s="95" t="s">
        <v>205</v>
      </c>
      <c r="AH312" s="87"/>
      <c r="AI312" s="88"/>
      <c r="AJ312" s="89"/>
      <c r="AK312" s="89"/>
      <c r="AL312" s="94">
        <f>PV(AL35,AL55,-(SUM(AL250:AL264)+AL268+AL270+AL272+AL276+AL278+AL282+AL284+AL286+AL288+AL290+AL292+AL294+AL296+AL298))</f>
        <v>34182.405503660098</v>
      </c>
      <c r="AM312" s="95" t="s">
        <v>279</v>
      </c>
      <c r="AN312" s="50"/>
      <c r="AO312" s="94">
        <f>PV(AO35,AO55,-(SUM(AO250:AO264)+AO268+AO270+AO272+AO276+AO278+AO282+AO284+AO286+AO288+AO290+AO292+AO294+AO296+AO298))</f>
        <v>45485.589693263588</v>
      </c>
      <c r="AP312" s="95" t="s">
        <v>205</v>
      </c>
      <c r="AQ312" s="87"/>
      <c r="AR312" s="88"/>
      <c r="AS312" s="80"/>
    </row>
    <row r="313" spans="2:45" ht="3" customHeight="1" x14ac:dyDescent="0.2">
      <c r="P313" s="89"/>
      <c r="Q313" s="298"/>
      <c r="R313" s="89"/>
      <c r="S313" s="89"/>
      <c r="W313" s="58"/>
      <c r="Y313" s="87"/>
      <c r="Z313" s="88"/>
      <c r="AA313" s="89"/>
      <c r="AB313" s="89"/>
      <c r="AC313" s="58"/>
      <c r="AF313" s="58"/>
      <c r="AH313" s="87"/>
      <c r="AI313" s="88"/>
      <c r="AJ313" s="89"/>
      <c r="AK313" s="89"/>
      <c r="AL313" s="58"/>
      <c r="AO313" s="58"/>
      <c r="AQ313" s="87"/>
      <c r="AR313" s="88"/>
      <c r="AS313" s="81"/>
    </row>
    <row r="314" spans="2:45" ht="14.25" customHeight="1" x14ac:dyDescent="0.2">
      <c r="C314" s="107" t="s">
        <v>328</v>
      </c>
      <c r="J314" s="44" t="str">
        <f>IF(UnitsOfMeasure="Metric","€","$")</f>
        <v>$</v>
      </c>
      <c r="K314" s="115">
        <f>IF(UnitsOfMeasure="Metric",T314,W314)</f>
        <v>0</v>
      </c>
      <c r="M314" s="115">
        <f>IF(UnitsOfMeasure="Metric",AC314,AF314)</f>
        <v>0</v>
      </c>
      <c r="O314" s="115">
        <f>IF(UnitsOfMeasure="Metric",AL314,AO314)</f>
        <v>30.95237356411641</v>
      </c>
      <c r="P314" s="89"/>
      <c r="Q314" s="298"/>
      <c r="R314" s="89"/>
      <c r="S314" s="89"/>
      <c r="T314" s="94">
        <f>PV(T35/12,T55*12,,-T306)</f>
        <v>0</v>
      </c>
      <c r="U314" s="95" t="s">
        <v>279</v>
      </c>
      <c r="V314" s="50"/>
      <c r="W314" s="94">
        <f>PV(W35/12,W55*12,,-W306)</f>
        <v>0</v>
      </c>
      <c r="X314" s="95" t="s">
        <v>205</v>
      </c>
      <c r="Y314" s="87"/>
      <c r="Z314" s="88"/>
      <c r="AA314" s="89"/>
      <c r="AB314" s="89"/>
      <c r="AC314" s="94">
        <f>PV(AC35/12,AC55*12,,-AC306)</f>
        <v>0</v>
      </c>
      <c r="AD314" s="95" t="s">
        <v>279</v>
      </c>
      <c r="AE314" s="50"/>
      <c r="AF314" s="94">
        <f>PV(AF35/12,AF55*12,,-AF306)</f>
        <v>0</v>
      </c>
      <c r="AG314" s="95" t="s">
        <v>205</v>
      </c>
      <c r="AH314" s="87"/>
      <c r="AI314" s="88"/>
      <c r="AJ314" s="89"/>
      <c r="AK314" s="89"/>
      <c r="AL314" s="94">
        <f>PV(AL35/12,AL55*12,,-AL306)</f>
        <v>0</v>
      </c>
      <c r="AM314" s="95" t="s">
        <v>279</v>
      </c>
      <c r="AN314" s="50"/>
      <c r="AO314" s="94">
        <f>PV(AO35/12,AO55*12,,-AO306)</f>
        <v>30.95237356411641</v>
      </c>
      <c r="AP314" s="95" t="s">
        <v>205</v>
      </c>
      <c r="AQ314" s="87"/>
      <c r="AR314" s="88"/>
      <c r="AS314" s="80"/>
    </row>
    <row r="315" spans="2:45" x14ac:dyDescent="0.2">
      <c r="P315" s="89"/>
      <c r="Q315" s="298"/>
      <c r="R315" s="89"/>
      <c r="W315" s="58"/>
      <c r="Y315" s="87"/>
      <c r="Z315" s="88"/>
      <c r="AA315" s="89"/>
      <c r="AC315" s="58"/>
      <c r="AF315" s="58"/>
      <c r="AH315" s="87"/>
      <c r="AI315" s="88"/>
      <c r="AJ315" s="89"/>
      <c r="AL315" s="58"/>
      <c r="AO315" s="58"/>
      <c r="AQ315" s="87"/>
      <c r="AR315" s="88"/>
      <c r="AS315" s="81"/>
    </row>
    <row r="316" spans="2:45" ht="25.5" customHeight="1" x14ac:dyDescent="0.2">
      <c r="B316" s="106" t="s">
        <v>324</v>
      </c>
      <c r="P316" s="89"/>
      <c r="Q316" s="298"/>
      <c r="R316" s="89"/>
      <c r="W316" s="58"/>
      <c r="Y316" s="87"/>
      <c r="Z316" s="88"/>
      <c r="AA316" s="89"/>
      <c r="AC316" s="58"/>
      <c r="AF316" s="58"/>
      <c r="AH316" s="87"/>
      <c r="AI316" s="88"/>
      <c r="AJ316" s="89"/>
      <c r="AL316" s="58"/>
      <c r="AO316" s="58"/>
      <c r="AQ316" s="87"/>
      <c r="AR316" s="88"/>
      <c r="AS316" s="80"/>
    </row>
    <row r="317" spans="2:45" x14ac:dyDescent="0.2">
      <c r="G317" s="43" t="s">
        <v>306</v>
      </c>
      <c r="J317" s="44" t="s">
        <v>245</v>
      </c>
      <c r="K317" s="117">
        <f>IF(UnitsOfMeasure="Metric",T317,W317*$U$21)</f>
        <v>0.14818843000969298</v>
      </c>
      <c r="M317" s="117">
        <f>IF(UnitsOfMeasure="Metric",AC317,AF317*$U$21)</f>
        <v>0.14818843000969298</v>
      </c>
      <c r="O317" s="117">
        <f>IF(UnitsOfMeasure="Metric",AL317,AO317*$U$21)</f>
        <v>1.4816302047093957</v>
      </c>
      <c r="P317" s="89"/>
      <c r="Q317" s="298"/>
      <c r="R317" s="89"/>
      <c r="S317" s="89"/>
      <c r="T317" s="94">
        <f>IF(T30=$B$24,(T161/60000)*(T167*100)*((1/T173)-(1/T171)),AD11)</f>
        <v>0.14818813652340324</v>
      </c>
      <c r="U317" s="95" t="s">
        <v>245</v>
      </c>
      <c r="V317" s="50"/>
      <c r="W317" s="94">
        <f>IF(T30=$B$24,$U$20*W161*W167*((1/W173)-(1/W171))/($U$19*$U$21),AD12)</f>
        <v>0.19872392384295692</v>
      </c>
      <c r="X317" s="95" t="s">
        <v>444</v>
      </c>
      <c r="Y317" s="87"/>
      <c r="Z317" s="88"/>
      <c r="AA317" s="89"/>
      <c r="AB317" s="89"/>
      <c r="AC317" s="94">
        <f>IF(AC30=$B$24,(AC161/60000)*(AC167*100)*((1/AC173)-(1/AC171)),AD13)</f>
        <v>0.14818813652340324</v>
      </c>
      <c r="AD317" s="95" t="s">
        <v>245</v>
      </c>
      <c r="AE317" s="50"/>
      <c r="AF317" s="94">
        <f>IF(AC30=$B$24,$U$20*AF161*AF167*((1/AF173)-(1/AF171))/($U$19*$U$21),AD14)</f>
        <v>0.19872392384295692</v>
      </c>
      <c r="AG317" s="95" t="s">
        <v>444</v>
      </c>
      <c r="AH317" s="87"/>
      <c r="AI317" s="88"/>
      <c r="AJ317" s="89"/>
      <c r="AK317" s="89"/>
      <c r="AL317" s="94">
        <f>IF(AL30=$B$24,(AL161/60000)*(AL167*100)*((1/AL173)-(1/AL171)),AD15)</f>
        <v>1.4816272703497331</v>
      </c>
      <c r="AM317" s="95" t="s">
        <v>245</v>
      </c>
      <c r="AN317" s="50"/>
      <c r="AO317" s="94">
        <f>IF(AL30=$B$24,$U$20*AO161*AO167*((1/AO173)-(1/AO171))/($U$19*$U$21),AD16)</f>
        <v>1.9868984909607021</v>
      </c>
      <c r="AP317" s="95" t="s">
        <v>444</v>
      </c>
      <c r="AQ317" s="87"/>
      <c r="AR317" s="88"/>
      <c r="AS317" s="116"/>
    </row>
    <row r="318" spans="2:45" x14ac:dyDescent="0.2">
      <c r="P318" s="89"/>
      <c r="Q318" s="298"/>
      <c r="R318" s="89"/>
      <c r="S318" s="89"/>
      <c r="W318" s="58"/>
      <c r="Y318" s="87"/>
      <c r="Z318" s="88"/>
      <c r="AA318" s="89"/>
      <c r="AB318" s="89"/>
      <c r="AC318" s="58"/>
      <c r="AF318" s="58"/>
      <c r="AH318" s="87"/>
      <c r="AI318" s="88"/>
      <c r="AJ318" s="89"/>
      <c r="AK318" s="89"/>
      <c r="AL318" s="58"/>
      <c r="AO318" s="58"/>
      <c r="AQ318" s="87"/>
      <c r="AR318" s="88"/>
      <c r="AS318" s="116"/>
    </row>
    <row r="319" spans="2:45" x14ac:dyDescent="0.2">
      <c r="G319" s="43" t="s">
        <v>307</v>
      </c>
      <c r="J319" s="44" t="s">
        <v>245</v>
      </c>
      <c r="K319" s="117">
        <f>IF(UnitsOfMeasure="Metric",T319,W319*$U$21)</f>
        <v>3.0138293787157422</v>
      </c>
      <c r="M319" s="117">
        <f>IF(UnitsOfMeasure="Metric",AC319,AF319*$U$21)</f>
        <v>7.5560702696594131</v>
      </c>
      <c r="O319" s="117">
        <f>IF(UnitsOfMeasure="Metric",AL319,AO319*$U$21)</f>
        <v>0</v>
      </c>
      <c r="P319" s="89"/>
      <c r="Q319" s="298"/>
      <c r="R319" s="89"/>
      <c r="S319" s="89"/>
      <c r="T319" s="94">
        <f>IF(T317&gt;SUM(T321,T323,T325,T327),0,SUM(T321,T323,T325,T327)-T317)</f>
        <v>3.0138284420899275</v>
      </c>
      <c r="U319" s="95" t="s">
        <v>245</v>
      </c>
      <c r="V319" s="50"/>
      <c r="W319" s="94">
        <f>IF(W317&gt;SUM(W321,W323,W325,W327),0,SUM(W321,W323,W325,W327)-W317)</f>
        <v>4.0416110751183343</v>
      </c>
      <c r="X319" s="95" t="s">
        <v>444</v>
      </c>
      <c r="Y319" s="87"/>
      <c r="Z319" s="88"/>
      <c r="AA319" s="89"/>
      <c r="AB319" s="89"/>
      <c r="AC319" s="94">
        <f>IF(AC317&gt;SUM(AC321,AC323,AC325,AC327),0,SUM(AC321,AC323,AC325,AC327)-AC317)</f>
        <v>7.5560675659765986</v>
      </c>
      <c r="AD319" s="95" t="s">
        <v>245</v>
      </c>
      <c r="AE319" s="50"/>
      <c r="AF319" s="94">
        <f>IF(AF317&gt;SUM(AF321,AF323,AF325,AF327),0,SUM(AF321,AF323,AF325,AF327)-AF317)</f>
        <v>10.132855397156247</v>
      </c>
      <c r="AG319" s="95" t="s">
        <v>444</v>
      </c>
      <c r="AH319" s="87"/>
      <c r="AI319" s="88"/>
      <c r="AJ319" s="89"/>
      <c r="AK319" s="89"/>
      <c r="AL319" s="94">
        <f>IF(AL317&gt;SUM(AL321,AL323,AL325,AL327),0,SUM(AL321,AL323,AL325,AL327)-AL317)</f>
        <v>0</v>
      </c>
      <c r="AM319" s="95" t="s">
        <v>245</v>
      </c>
      <c r="AN319" s="50"/>
      <c r="AO319" s="94">
        <f>IF(AO317&gt;SUM(AO321,AO323,AO325,AO327),0,SUM(AO321,AO323,AO325,AO327)-AO317)</f>
        <v>0</v>
      </c>
      <c r="AP319" s="95" t="s">
        <v>444</v>
      </c>
      <c r="AQ319" s="87"/>
      <c r="AR319" s="88"/>
      <c r="AS319" s="116" t="s">
        <v>497</v>
      </c>
    </row>
    <row r="320" spans="2:45" ht="3.75" customHeight="1" x14ac:dyDescent="0.2">
      <c r="J320" s="46"/>
      <c r="L320" s="46"/>
      <c r="N320" s="46"/>
      <c r="P320" s="104"/>
      <c r="Q320" s="298"/>
      <c r="R320" s="89"/>
      <c r="S320" s="89"/>
      <c r="T320" s="108"/>
      <c r="U320" s="89"/>
      <c r="V320" s="50"/>
      <c r="W320" s="108"/>
      <c r="X320" s="89"/>
      <c r="Y320" s="87"/>
      <c r="Z320" s="88"/>
      <c r="AA320" s="89"/>
      <c r="AB320" s="89"/>
      <c r="AC320" s="108"/>
      <c r="AD320" s="89"/>
      <c r="AE320" s="50"/>
      <c r="AF320" s="108"/>
      <c r="AG320" s="89"/>
      <c r="AH320" s="87"/>
      <c r="AI320" s="88"/>
      <c r="AJ320" s="89"/>
      <c r="AK320" s="89"/>
      <c r="AL320" s="108"/>
      <c r="AM320" s="89"/>
      <c r="AN320" s="50"/>
      <c r="AO320" s="108"/>
      <c r="AP320" s="89"/>
      <c r="AQ320" s="87"/>
      <c r="AR320" s="88"/>
      <c r="AS320" s="81"/>
    </row>
    <row r="321" spans="1:45" hidden="1" x14ac:dyDescent="0.2">
      <c r="A321" s="62" t="s">
        <v>263</v>
      </c>
      <c r="G321" s="103" t="s">
        <v>489</v>
      </c>
      <c r="J321" s="46"/>
      <c r="L321" s="46"/>
      <c r="N321" s="46"/>
      <c r="P321" s="104"/>
      <c r="Q321" s="298"/>
      <c r="R321" s="89"/>
      <c r="S321" s="89"/>
      <c r="T321" s="94">
        <f>IF(OR(T30=$B$10,T30=$B$12),T189*T193*T197*(T97-T203)*T51/60,0)</f>
        <v>0</v>
      </c>
      <c r="U321" s="95" t="s">
        <v>245</v>
      </c>
      <c r="V321" s="50"/>
      <c r="W321" s="94">
        <f>IF(OR(T30=$B$10,T30=$B$12),W189*W193*W197*(W97-W203)*W51*60/$U$22,0)</f>
        <v>0</v>
      </c>
      <c r="X321" s="95" t="s">
        <v>444</v>
      </c>
      <c r="Y321" s="87"/>
      <c r="Z321" s="88"/>
      <c r="AA321" s="89"/>
      <c r="AB321" s="89"/>
      <c r="AC321" s="94">
        <f>IF(OR(AC30=$B$10,AC30=$B$12),AC189*AC193*AC197*(AC97-AC203)*AC51/60,0)</f>
        <v>7.704255702500002</v>
      </c>
      <c r="AD321" s="95" t="s">
        <v>245</v>
      </c>
      <c r="AE321" s="50"/>
      <c r="AF321" s="94">
        <f>IF(OR(AC30=$B$10,AC30=$B$12),AF189*AF193*AF197*(AF97-AF203)*AF51*60/$U$22,0)</f>
        <v>10.331579320999204</v>
      </c>
      <c r="AG321" s="95" t="s">
        <v>444</v>
      </c>
      <c r="AH321" s="87"/>
      <c r="AI321" s="88"/>
      <c r="AJ321" s="89"/>
      <c r="AK321" s="89"/>
      <c r="AL321" s="94">
        <f>IF(OR(AL30=$B$10,AL30=$B$12),AL189*AL193*AL197*(AL97-AL203)*AL51/60,0)</f>
        <v>0</v>
      </c>
      <c r="AM321" s="95" t="s">
        <v>245</v>
      </c>
      <c r="AN321" s="50"/>
      <c r="AO321" s="94">
        <f>IF(OR(AL30=$B$10,AL30=$B$12),AO189*AO193*AO197*(AO97-AO203)*AO51*60/$U$22,0)</f>
        <v>0</v>
      </c>
      <c r="AP321" s="95" t="s">
        <v>444</v>
      </c>
      <c r="AQ321" s="87"/>
      <c r="AR321" s="88"/>
      <c r="AS321" s="80" t="s">
        <v>506</v>
      </c>
    </row>
    <row r="322" spans="1:45" ht="3.75" hidden="1" customHeight="1" x14ac:dyDescent="0.2">
      <c r="A322" s="62"/>
      <c r="J322" s="46"/>
      <c r="L322" s="46"/>
      <c r="N322" s="46"/>
      <c r="P322" s="104"/>
      <c r="Q322" s="298"/>
      <c r="R322" s="89"/>
      <c r="S322" s="89"/>
      <c r="T322" s="108"/>
      <c r="U322" s="89"/>
      <c r="V322" s="50"/>
      <c r="W322" s="108"/>
      <c r="X322" s="89"/>
      <c r="Y322" s="87"/>
      <c r="Z322" s="88"/>
      <c r="AA322" s="89"/>
      <c r="AB322" s="89"/>
      <c r="AC322" s="108"/>
      <c r="AD322" s="89"/>
      <c r="AE322" s="50"/>
      <c r="AF322" s="108"/>
      <c r="AG322" s="89"/>
      <c r="AH322" s="87"/>
      <c r="AI322" s="88"/>
      <c r="AJ322" s="89"/>
      <c r="AK322" s="89"/>
      <c r="AL322" s="108"/>
      <c r="AM322" s="89"/>
      <c r="AN322" s="50"/>
      <c r="AO322" s="108"/>
      <c r="AP322" s="89"/>
      <c r="AQ322" s="87"/>
      <c r="AR322" s="88"/>
      <c r="AS322" s="81"/>
    </row>
    <row r="323" spans="1:45" hidden="1" x14ac:dyDescent="0.2">
      <c r="A323" s="62" t="s">
        <v>263</v>
      </c>
      <c r="G323" s="103" t="s">
        <v>490</v>
      </c>
      <c r="J323" s="46"/>
      <c r="L323" s="46"/>
      <c r="N323" s="46"/>
      <c r="P323" s="104"/>
      <c r="Q323" s="298"/>
      <c r="R323" s="89"/>
      <c r="S323" s="89"/>
      <c r="T323" s="94">
        <f>IF(T30=$B$11,T189*T193*T197*(T97-T215)*T51/60,0)</f>
        <v>3.162016578613331</v>
      </c>
      <c r="U323" s="95" t="s">
        <v>245</v>
      </c>
      <c r="V323" s="50"/>
      <c r="W323" s="94">
        <f>IF(T30=$B$11,W189*W193*W197*(W97-W215)*W51*60/$U$22,0)</f>
        <v>4.2403349989612913</v>
      </c>
      <c r="X323" s="95" t="s">
        <v>444</v>
      </c>
      <c r="Y323" s="87"/>
      <c r="Z323" s="88"/>
      <c r="AA323" s="89"/>
      <c r="AB323" s="89"/>
      <c r="AC323" s="94">
        <f>IF(AC30=$B$11,AC189*AC193*AC197*(AC97-AC215)*AC51/60,0)</f>
        <v>0</v>
      </c>
      <c r="AD323" s="95" t="s">
        <v>245</v>
      </c>
      <c r="AE323" s="50"/>
      <c r="AF323" s="94">
        <f>IF(AC30=$B$11,AF189*AF193*AF197*(AF97-AF215)*AF51*60/$U$22,0)</f>
        <v>0</v>
      </c>
      <c r="AG323" s="95" t="s">
        <v>444</v>
      </c>
      <c r="AH323" s="87"/>
      <c r="AI323" s="88"/>
      <c r="AJ323" s="89"/>
      <c r="AK323" s="89"/>
      <c r="AL323" s="94">
        <f>IF(AL30=$B$11,AL189*AL193*AL197*(AL97-AL215)*AL51/60,0)</f>
        <v>0</v>
      </c>
      <c r="AM323" s="95" t="s">
        <v>245</v>
      </c>
      <c r="AN323" s="50"/>
      <c r="AO323" s="94">
        <f>IF(AL30=$B$11,AO189*AO193*AO197*(AO97-AO215)*AO51*60/$U$22,0)</f>
        <v>0</v>
      </c>
      <c r="AP323" s="95" t="s">
        <v>444</v>
      </c>
      <c r="AQ323" s="87"/>
      <c r="AR323" s="88"/>
      <c r="AS323" s="80" t="s">
        <v>507</v>
      </c>
    </row>
    <row r="324" spans="1:45" ht="3.75" hidden="1" customHeight="1" x14ac:dyDescent="0.2">
      <c r="A324" s="62"/>
      <c r="J324" s="46"/>
      <c r="L324" s="46"/>
      <c r="N324" s="46"/>
      <c r="P324" s="104"/>
      <c r="Q324" s="298"/>
      <c r="R324" s="89"/>
      <c r="S324" s="89"/>
      <c r="T324" s="108"/>
      <c r="U324" s="89"/>
      <c r="V324" s="50"/>
      <c r="W324" s="108"/>
      <c r="X324" s="89"/>
      <c r="Y324" s="87"/>
      <c r="Z324" s="88"/>
      <c r="AA324" s="89"/>
      <c r="AB324" s="89"/>
      <c r="AC324" s="108"/>
      <c r="AD324" s="89"/>
      <c r="AE324" s="50"/>
      <c r="AF324" s="108"/>
      <c r="AG324" s="89"/>
      <c r="AH324" s="87"/>
      <c r="AI324" s="88"/>
      <c r="AJ324" s="89"/>
      <c r="AK324" s="89"/>
      <c r="AL324" s="108"/>
      <c r="AM324" s="89"/>
      <c r="AN324" s="50"/>
      <c r="AO324" s="108"/>
      <c r="AP324" s="89"/>
      <c r="AQ324" s="87"/>
      <c r="AR324" s="88"/>
      <c r="AS324" s="81"/>
    </row>
    <row r="325" spans="1:45" hidden="1" x14ac:dyDescent="0.2">
      <c r="A325" s="62" t="s">
        <v>263</v>
      </c>
      <c r="G325" s="103" t="s">
        <v>491</v>
      </c>
      <c r="J325" s="46"/>
      <c r="L325" s="46"/>
      <c r="N325" s="46"/>
      <c r="P325" s="104"/>
      <c r="Q325" s="298"/>
      <c r="R325" s="89"/>
      <c r="S325" s="89"/>
      <c r="T325" s="94">
        <f>IF(OR(T30=$B$13,T30=$B$14,T30=$B$15),$AD$18*T93*ABS(T97-T203)*T51+T317,0)</f>
        <v>0</v>
      </c>
      <c r="U325" s="95" t="s">
        <v>245</v>
      </c>
      <c r="V325" s="50"/>
      <c r="W325" s="94">
        <f>IF(OR(T30=$B$13,T30=$B$14,T30=$B$15),$AD$19*W93*ABS(W97-W203)*W51/$U$22+W317,0)</f>
        <v>0</v>
      </c>
      <c r="X325" s="95" t="s">
        <v>444</v>
      </c>
      <c r="Y325" s="87"/>
      <c r="Z325" s="88"/>
      <c r="AA325" s="89"/>
      <c r="AB325" s="89"/>
      <c r="AC325" s="94">
        <f>IF(OR(AC30=$B$13,AC30=$B$14,AC30=$B$15),$AD$18*AC93*ABS(AC97-AC203)*AC51+AC317,0)</f>
        <v>0</v>
      </c>
      <c r="AD325" s="95" t="s">
        <v>245</v>
      </c>
      <c r="AE325" s="50"/>
      <c r="AF325" s="94">
        <f>IF(OR(AC30=$B$13,AC30=$B$14,AC30=$B$15),$AD$19*AF93*ABS(AF97-AF203)*AF51/$U$22+AF317,0)</f>
        <v>0</v>
      </c>
      <c r="AG325" s="95" t="s">
        <v>444</v>
      </c>
      <c r="AH325" s="87"/>
      <c r="AI325" s="88"/>
      <c r="AJ325" s="89"/>
      <c r="AK325" s="89"/>
      <c r="AL325" s="94">
        <f>IF(OR(AL30=$B$13,AL30=$B$14,AL30=$B$15),$AD$18*AL93*ABS(AL97-AL203)*AL51+AL317,0)</f>
        <v>0</v>
      </c>
      <c r="AM325" s="95" t="s">
        <v>245</v>
      </c>
      <c r="AN325" s="50"/>
      <c r="AO325" s="94">
        <f>IF(OR(AL30=$B$13,AL30=$B$14,AL30=$B$15),$AD$19*AO93*ABS(AO97-AO203)*AO51/$U$22+AO317,0)</f>
        <v>0</v>
      </c>
      <c r="AP325" s="95" t="s">
        <v>444</v>
      </c>
      <c r="AQ325" s="87"/>
      <c r="AR325" s="88"/>
      <c r="AS325" s="80" t="s">
        <v>508</v>
      </c>
    </row>
    <row r="326" spans="1:45" ht="3.75" hidden="1" customHeight="1" x14ac:dyDescent="0.2">
      <c r="A326" s="62"/>
      <c r="G326" s="103"/>
      <c r="J326" s="46"/>
      <c r="L326" s="46"/>
      <c r="N326" s="46"/>
      <c r="P326" s="104"/>
      <c r="Q326" s="298"/>
      <c r="R326" s="89"/>
      <c r="S326" s="89"/>
      <c r="T326" s="108"/>
      <c r="U326" s="89"/>
      <c r="V326" s="50"/>
      <c r="W326" s="108"/>
      <c r="X326" s="89"/>
      <c r="Y326" s="87"/>
      <c r="Z326" s="88"/>
      <c r="AA326" s="89"/>
      <c r="AB326" s="89"/>
      <c r="AC326" s="108"/>
      <c r="AD326" s="89"/>
      <c r="AE326" s="50"/>
      <c r="AF326" s="108"/>
      <c r="AG326" s="89"/>
      <c r="AH326" s="87"/>
      <c r="AI326" s="88"/>
      <c r="AJ326" s="89"/>
      <c r="AK326" s="89"/>
      <c r="AL326" s="108"/>
      <c r="AM326" s="89"/>
      <c r="AN326" s="50"/>
      <c r="AO326" s="108"/>
      <c r="AP326" s="89"/>
      <c r="AQ326" s="87"/>
      <c r="AR326" s="88"/>
      <c r="AS326" s="81"/>
    </row>
    <row r="327" spans="1:45" hidden="1" x14ac:dyDescent="0.2">
      <c r="A327" s="62" t="s">
        <v>263</v>
      </c>
      <c r="G327" s="103" t="s">
        <v>492</v>
      </c>
      <c r="J327" s="46"/>
      <c r="L327" s="46"/>
      <c r="N327" s="46"/>
      <c r="P327" s="104"/>
      <c r="Q327" s="298"/>
      <c r="R327" s="89"/>
      <c r="S327" s="89"/>
      <c r="T327" s="94">
        <f>IF(T30=$B$23,T133*T149*T137*T141*(T119-T147)*T51/60,0)</f>
        <v>0</v>
      </c>
      <c r="U327" s="95" t="s">
        <v>245</v>
      </c>
      <c r="V327" s="50"/>
      <c r="W327" s="94">
        <f>IF(T30=$B$23,W133*W149*W137*W141*(W119-W147)*W51*60/$U$22,0)</f>
        <v>0</v>
      </c>
      <c r="X327" s="95" t="s">
        <v>444</v>
      </c>
      <c r="Y327" s="87"/>
      <c r="Z327" s="88"/>
      <c r="AA327" s="89"/>
      <c r="AB327" s="89"/>
      <c r="AC327" s="94">
        <f>IF(AC30=$B$23,AC133*AC149*AC137*AC141*(AC119-AC147)*AC51/60,0)</f>
        <v>0</v>
      </c>
      <c r="AD327" s="95" t="s">
        <v>245</v>
      </c>
      <c r="AE327" s="50"/>
      <c r="AF327" s="94">
        <f>IF(AC30=$B$23,AF133*AF149*AF137*AF141*(AF119-AF147)*AF51*60/$U$22,0)</f>
        <v>0</v>
      </c>
      <c r="AG327" s="95" t="s">
        <v>444</v>
      </c>
      <c r="AH327" s="87"/>
      <c r="AI327" s="88"/>
      <c r="AJ327" s="89"/>
      <c r="AK327" s="89"/>
      <c r="AL327" s="94">
        <f>IF(AL30=$B$23,AL133*AL149*AL137*AL141*(AL119-AL147)*AL51/60,0)</f>
        <v>0.26414590980000002</v>
      </c>
      <c r="AM327" s="95" t="s">
        <v>245</v>
      </c>
      <c r="AN327" s="50"/>
      <c r="AO327" s="94">
        <f>IF(AL30=$B$23,AO133*AO149*AO137*AO141*(AO119-AO147)*AO51*60/$U$22,0)</f>
        <v>0.35422557671997262</v>
      </c>
      <c r="AP327" s="95" t="s">
        <v>444</v>
      </c>
      <c r="AQ327" s="87"/>
      <c r="AR327" s="88"/>
      <c r="AS327" s="80" t="s">
        <v>509</v>
      </c>
    </row>
    <row r="328" spans="1:45" ht="3.75" hidden="1" customHeight="1" x14ac:dyDescent="0.2">
      <c r="A328" s="62"/>
      <c r="J328" s="46"/>
      <c r="L328" s="46"/>
      <c r="N328" s="46"/>
      <c r="P328" s="104"/>
      <c r="Q328" s="298"/>
      <c r="R328" s="89"/>
      <c r="S328" s="89"/>
      <c r="T328" s="108"/>
      <c r="U328" s="89"/>
      <c r="V328" s="50"/>
      <c r="W328" s="108"/>
      <c r="X328" s="89"/>
      <c r="Y328" s="87"/>
      <c r="Z328" s="88"/>
      <c r="AA328" s="89"/>
      <c r="AB328" s="89"/>
      <c r="AC328" s="108"/>
      <c r="AD328" s="89"/>
      <c r="AE328" s="50"/>
      <c r="AF328" s="108"/>
      <c r="AG328" s="89"/>
      <c r="AH328" s="87"/>
      <c r="AI328" s="88"/>
      <c r="AJ328" s="89"/>
      <c r="AK328" s="89"/>
      <c r="AL328" s="108"/>
      <c r="AM328" s="89"/>
      <c r="AN328" s="50"/>
      <c r="AO328" s="108"/>
      <c r="AP328" s="89"/>
      <c r="AQ328" s="87"/>
      <c r="AR328" s="88"/>
      <c r="AS328" s="81"/>
    </row>
    <row r="329" spans="1:45" x14ac:dyDescent="0.2">
      <c r="G329" s="43" t="s">
        <v>308</v>
      </c>
      <c r="J329" s="44" t="s">
        <v>245</v>
      </c>
      <c r="K329" s="117">
        <f>IF(UnitsOfMeasure="Metric",T329,W329*$U$21)</f>
        <v>3.1620178087254351</v>
      </c>
      <c r="M329" s="117">
        <f>IF(UnitsOfMeasure="Metric",AC329,AF329*$U$21)</f>
        <v>0</v>
      </c>
      <c r="O329" s="117">
        <f>IF(UnitsOfMeasure="Metric",AL329,AO329*$U$21)</f>
        <v>0</v>
      </c>
      <c r="P329" s="89"/>
      <c r="Q329" s="298"/>
      <c r="R329" s="89"/>
      <c r="S329" s="89"/>
      <c r="T329" s="94">
        <f>SUM(T331,T333,T335,T337)</f>
        <v>3.162016578613331</v>
      </c>
      <c r="U329" s="95" t="s">
        <v>245</v>
      </c>
      <c r="V329" s="50"/>
      <c r="W329" s="94">
        <f>SUM(W331,W333,W335,W337)</f>
        <v>4.2403349989612913</v>
      </c>
      <c r="X329" s="95" t="s">
        <v>444</v>
      </c>
      <c r="Y329" s="87"/>
      <c r="Z329" s="88"/>
      <c r="AA329" s="89"/>
      <c r="AB329" s="89"/>
      <c r="AC329" s="94">
        <f>SUM(AC331,AC333,AC335,AC337)</f>
        <v>0</v>
      </c>
      <c r="AD329" s="95" t="s">
        <v>245</v>
      </c>
      <c r="AE329" s="50"/>
      <c r="AF329" s="94">
        <f>SUM(AF331,AF333,AF335,AF337)</f>
        <v>0</v>
      </c>
      <c r="AG329" s="95" t="s">
        <v>444</v>
      </c>
      <c r="AH329" s="87"/>
      <c r="AI329" s="88"/>
      <c r="AJ329" s="89"/>
      <c r="AK329" s="89"/>
      <c r="AL329" s="94">
        <f>SUM(AL331,AL333,AL335,AL337)</f>
        <v>0</v>
      </c>
      <c r="AM329" s="95" t="s">
        <v>245</v>
      </c>
      <c r="AN329" s="50"/>
      <c r="AO329" s="94">
        <f>SUM(AO331,AO333,AO335,AO337)</f>
        <v>0</v>
      </c>
      <c r="AP329" s="95" t="s">
        <v>444</v>
      </c>
      <c r="AQ329" s="87"/>
      <c r="AR329" s="88"/>
      <c r="AS329" s="80"/>
    </row>
    <row r="330" spans="1:45" ht="3.75" customHeight="1" x14ac:dyDescent="0.2">
      <c r="J330" s="44"/>
      <c r="P330" s="89"/>
      <c r="Q330" s="298"/>
      <c r="R330" s="89"/>
      <c r="S330" s="89"/>
      <c r="T330" s="108"/>
      <c r="V330" s="50"/>
      <c r="W330" s="108"/>
      <c r="Y330" s="87"/>
      <c r="Z330" s="88"/>
      <c r="AA330" s="89"/>
      <c r="AB330" s="89"/>
      <c r="AC330" s="108"/>
      <c r="AE330" s="50"/>
      <c r="AF330" s="108"/>
      <c r="AH330" s="87"/>
      <c r="AI330" s="88"/>
      <c r="AJ330" s="89"/>
      <c r="AK330" s="89"/>
      <c r="AL330" s="108"/>
      <c r="AN330" s="50"/>
      <c r="AO330" s="108"/>
      <c r="AQ330" s="87"/>
      <c r="AR330" s="88"/>
      <c r="AS330" s="81"/>
    </row>
    <row r="331" spans="1:45" hidden="1" x14ac:dyDescent="0.2">
      <c r="A331" s="62" t="s">
        <v>263</v>
      </c>
      <c r="G331" s="103" t="s">
        <v>493</v>
      </c>
      <c r="J331" s="44"/>
      <c r="P331" s="89"/>
      <c r="Q331" s="298"/>
      <c r="R331" s="89"/>
      <c r="S331" s="89"/>
      <c r="T331" s="94">
        <f>IF(T30=$B$10,T321,0)</f>
        <v>0</v>
      </c>
      <c r="U331" s="95" t="s">
        <v>245</v>
      </c>
      <c r="V331" s="50"/>
      <c r="W331" s="94">
        <f>IF(T30=$B$10,W321,0)</f>
        <v>0</v>
      </c>
      <c r="X331" s="95" t="s">
        <v>444</v>
      </c>
      <c r="Y331" s="87"/>
      <c r="Z331" s="88"/>
      <c r="AA331" s="89"/>
      <c r="AB331" s="89"/>
      <c r="AC331" s="94">
        <f>IF(AC30=$B$10,AC321,0)</f>
        <v>0</v>
      </c>
      <c r="AD331" s="95" t="s">
        <v>245</v>
      </c>
      <c r="AE331" s="50"/>
      <c r="AF331" s="94">
        <f>IF(AC30=$B$10,AF321,0)</f>
        <v>0</v>
      </c>
      <c r="AG331" s="95" t="s">
        <v>444</v>
      </c>
      <c r="AH331" s="87"/>
      <c r="AI331" s="88"/>
      <c r="AJ331" s="89"/>
      <c r="AK331" s="89"/>
      <c r="AL331" s="94">
        <f>IF(AL30=$B$10,AL321,0)</f>
        <v>0</v>
      </c>
      <c r="AM331" s="95" t="s">
        <v>245</v>
      </c>
      <c r="AN331" s="50"/>
      <c r="AO331" s="94">
        <f>IF(AL30=$B$10,AO321,0)</f>
        <v>0</v>
      </c>
      <c r="AP331" s="95" t="s">
        <v>444</v>
      </c>
      <c r="AQ331" s="87"/>
      <c r="AR331" s="88"/>
      <c r="AS331" s="80" t="s">
        <v>495</v>
      </c>
    </row>
    <row r="332" spans="1:45" ht="3.75" hidden="1" customHeight="1" x14ac:dyDescent="0.2">
      <c r="A332" s="62"/>
      <c r="J332" s="44"/>
      <c r="P332" s="89"/>
      <c r="Q332" s="298"/>
      <c r="R332" s="89"/>
      <c r="S332" s="89"/>
      <c r="T332" s="108"/>
      <c r="V332" s="50"/>
      <c r="W332" s="108"/>
      <c r="Y332" s="87"/>
      <c r="Z332" s="88"/>
      <c r="AA332" s="89"/>
      <c r="AB332" s="89"/>
      <c r="AC332" s="108"/>
      <c r="AE332" s="50"/>
      <c r="AF332" s="108"/>
      <c r="AH332" s="87"/>
      <c r="AI332" s="88"/>
      <c r="AJ332" s="89"/>
      <c r="AK332" s="89"/>
      <c r="AL332" s="108"/>
      <c r="AN332" s="50"/>
      <c r="AO332" s="108"/>
      <c r="AQ332" s="87"/>
      <c r="AR332" s="88"/>
      <c r="AS332" s="81"/>
    </row>
    <row r="333" spans="1:45" hidden="1" x14ac:dyDescent="0.2">
      <c r="A333" s="62" t="s">
        <v>263</v>
      </c>
      <c r="G333" s="103" t="s">
        <v>490</v>
      </c>
      <c r="J333" s="44"/>
      <c r="P333" s="89"/>
      <c r="Q333" s="298"/>
      <c r="R333" s="89"/>
      <c r="S333" s="89"/>
      <c r="T333" s="94">
        <f>T323</f>
        <v>3.162016578613331</v>
      </c>
      <c r="U333" s="95" t="s">
        <v>245</v>
      </c>
      <c r="V333" s="50"/>
      <c r="W333" s="94">
        <f>W323</f>
        <v>4.2403349989612913</v>
      </c>
      <c r="X333" s="95" t="s">
        <v>444</v>
      </c>
      <c r="Y333" s="87"/>
      <c r="Z333" s="88"/>
      <c r="AA333" s="89"/>
      <c r="AB333" s="89"/>
      <c r="AC333" s="94">
        <f>AC323</f>
        <v>0</v>
      </c>
      <c r="AD333" s="95" t="s">
        <v>245</v>
      </c>
      <c r="AE333" s="50"/>
      <c r="AF333" s="94">
        <f>AF323</f>
        <v>0</v>
      </c>
      <c r="AG333" s="95" t="s">
        <v>444</v>
      </c>
      <c r="AH333" s="87"/>
      <c r="AI333" s="88"/>
      <c r="AJ333" s="89"/>
      <c r="AK333" s="89"/>
      <c r="AL333" s="94">
        <f>AL323</f>
        <v>0</v>
      </c>
      <c r="AM333" s="95" t="s">
        <v>245</v>
      </c>
      <c r="AN333" s="50"/>
      <c r="AO333" s="94">
        <f>AO323</f>
        <v>0</v>
      </c>
      <c r="AP333" s="95" t="s">
        <v>444</v>
      </c>
      <c r="AQ333" s="87"/>
      <c r="AR333" s="88"/>
      <c r="AS333" s="80" t="s">
        <v>495</v>
      </c>
    </row>
    <row r="334" spans="1:45" ht="3.75" hidden="1" customHeight="1" x14ac:dyDescent="0.2">
      <c r="A334" s="62"/>
      <c r="J334" s="44"/>
      <c r="P334" s="89"/>
      <c r="Q334" s="298"/>
      <c r="R334" s="89"/>
      <c r="S334" s="89"/>
      <c r="T334" s="108"/>
      <c r="V334" s="50"/>
      <c r="W334" s="108"/>
      <c r="Y334" s="87"/>
      <c r="Z334" s="88"/>
      <c r="AA334" s="89"/>
      <c r="AB334" s="89"/>
      <c r="AC334" s="108"/>
      <c r="AE334" s="50"/>
      <c r="AF334" s="108"/>
      <c r="AH334" s="87"/>
      <c r="AI334" s="88"/>
      <c r="AJ334" s="89"/>
      <c r="AK334" s="89"/>
      <c r="AL334" s="108"/>
      <c r="AN334" s="50"/>
      <c r="AO334" s="108"/>
      <c r="AQ334" s="87"/>
      <c r="AR334" s="88"/>
      <c r="AS334" s="81"/>
    </row>
    <row r="335" spans="1:45" hidden="1" x14ac:dyDescent="0.2">
      <c r="A335" s="62" t="s">
        <v>263</v>
      </c>
      <c r="G335" s="103" t="s">
        <v>494</v>
      </c>
      <c r="J335" s="44"/>
      <c r="P335" s="89"/>
      <c r="Q335" s="298"/>
      <c r="R335" s="89"/>
      <c r="S335" s="89"/>
      <c r="T335" s="94">
        <v>0</v>
      </c>
      <c r="U335" s="95" t="s">
        <v>245</v>
      </c>
      <c r="V335" s="50"/>
      <c r="W335" s="94">
        <v>0</v>
      </c>
      <c r="X335" s="95" t="s">
        <v>444</v>
      </c>
      <c r="Y335" s="87"/>
      <c r="Z335" s="88"/>
      <c r="AA335" s="89"/>
      <c r="AB335" s="89"/>
      <c r="AC335" s="94">
        <v>0</v>
      </c>
      <c r="AD335" s="95" t="s">
        <v>245</v>
      </c>
      <c r="AE335" s="50"/>
      <c r="AF335" s="94">
        <v>0</v>
      </c>
      <c r="AG335" s="95" t="s">
        <v>444</v>
      </c>
      <c r="AH335" s="87"/>
      <c r="AI335" s="88"/>
      <c r="AJ335" s="89"/>
      <c r="AK335" s="89"/>
      <c r="AL335" s="94">
        <v>0</v>
      </c>
      <c r="AM335" s="95" t="s">
        <v>245</v>
      </c>
      <c r="AN335" s="50"/>
      <c r="AO335" s="94">
        <v>0</v>
      </c>
      <c r="AP335" s="95" t="s">
        <v>444</v>
      </c>
      <c r="AQ335" s="87"/>
      <c r="AR335" s="88"/>
      <c r="AS335" s="80" t="s">
        <v>496</v>
      </c>
    </row>
    <row r="336" spans="1:45" ht="3.75" hidden="1" customHeight="1" x14ac:dyDescent="0.2">
      <c r="A336" s="62"/>
      <c r="J336" s="44"/>
      <c r="P336" s="89"/>
      <c r="Q336" s="298"/>
      <c r="R336" s="89"/>
      <c r="S336" s="89"/>
      <c r="T336" s="108"/>
      <c r="V336" s="50"/>
      <c r="W336" s="108"/>
      <c r="Y336" s="87"/>
      <c r="Z336" s="88"/>
      <c r="AA336" s="89"/>
      <c r="AB336" s="89"/>
      <c r="AC336" s="108"/>
      <c r="AE336" s="50"/>
      <c r="AF336" s="108"/>
      <c r="AH336" s="87"/>
      <c r="AI336" s="88"/>
      <c r="AJ336" s="89"/>
      <c r="AK336" s="89"/>
      <c r="AL336" s="108"/>
      <c r="AN336" s="50"/>
      <c r="AO336" s="108"/>
      <c r="AQ336" s="87"/>
      <c r="AR336" s="88"/>
      <c r="AS336" s="81"/>
    </row>
    <row r="337" spans="1:45" hidden="1" x14ac:dyDescent="0.2">
      <c r="A337" s="62" t="s">
        <v>263</v>
      </c>
      <c r="G337" s="103" t="s">
        <v>491</v>
      </c>
      <c r="P337" s="89"/>
      <c r="Q337" s="298"/>
      <c r="R337" s="89"/>
      <c r="S337" s="89"/>
      <c r="T337" s="94">
        <f>T325</f>
        <v>0</v>
      </c>
      <c r="U337" s="95" t="s">
        <v>245</v>
      </c>
      <c r="V337" s="50"/>
      <c r="W337" s="94">
        <f>W325</f>
        <v>0</v>
      </c>
      <c r="X337" s="95" t="s">
        <v>444</v>
      </c>
      <c r="Y337" s="87"/>
      <c r="Z337" s="88"/>
      <c r="AA337" s="89"/>
      <c r="AB337" s="89"/>
      <c r="AC337" s="94">
        <f>AC325</f>
        <v>0</v>
      </c>
      <c r="AD337" s="95" t="s">
        <v>245</v>
      </c>
      <c r="AE337" s="50"/>
      <c r="AF337" s="94">
        <f>AF325</f>
        <v>0</v>
      </c>
      <c r="AG337" s="95" t="s">
        <v>444</v>
      </c>
      <c r="AH337" s="87"/>
      <c r="AI337" s="88"/>
      <c r="AJ337" s="89"/>
      <c r="AK337" s="89"/>
      <c r="AL337" s="94">
        <f>AL325</f>
        <v>0</v>
      </c>
      <c r="AM337" s="95" t="s">
        <v>245</v>
      </c>
      <c r="AN337" s="50"/>
      <c r="AO337" s="94">
        <f>AO325</f>
        <v>0</v>
      </c>
      <c r="AP337" s="95" t="s">
        <v>444</v>
      </c>
      <c r="AQ337" s="87"/>
      <c r="AS337" s="80" t="s">
        <v>495</v>
      </c>
    </row>
    <row r="338" spans="1:45" ht="3.75" hidden="1" customHeight="1" x14ac:dyDescent="0.2">
      <c r="A338" s="62"/>
      <c r="P338" s="89"/>
      <c r="Q338" s="298"/>
      <c r="R338" s="89"/>
      <c r="S338" s="89"/>
      <c r="W338" s="58"/>
      <c r="Y338" s="87"/>
      <c r="Z338" s="88"/>
      <c r="AA338" s="89"/>
      <c r="AB338" s="89"/>
      <c r="AC338" s="58"/>
      <c r="AF338" s="58"/>
      <c r="AH338" s="87"/>
      <c r="AI338" s="88"/>
      <c r="AJ338" s="89"/>
      <c r="AK338" s="89"/>
      <c r="AL338" s="58"/>
      <c r="AO338" s="58"/>
      <c r="AQ338" s="87"/>
      <c r="AR338" s="88"/>
      <c r="AS338" s="81"/>
    </row>
    <row r="339" spans="1:45" x14ac:dyDescent="0.2">
      <c r="G339" s="43" t="s">
        <v>325</v>
      </c>
      <c r="J339" s="44" t="s">
        <v>245</v>
      </c>
      <c r="K339" s="117">
        <f>IF(UnitsOfMeasure="Metric",T339,W339*$U$21)</f>
        <v>0</v>
      </c>
      <c r="M339" s="117">
        <f>IF(UnitsOfMeasure="Metric",AC339,AF339*$U$21)</f>
        <v>0</v>
      </c>
      <c r="O339" s="117">
        <f>IF(UnitsOfMeasure="Metric",AL339,AO339*$U$21)</f>
        <v>0</v>
      </c>
      <c r="P339" s="89"/>
      <c r="Q339" s="298"/>
      <c r="R339" s="89"/>
      <c r="S339" s="89"/>
      <c r="T339" s="94">
        <f>IF(T30=$B$12,T341,IF(T30=$B$23,T343,0))</f>
        <v>0</v>
      </c>
      <c r="U339" s="95" t="s">
        <v>245</v>
      </c>
      <c r="V339" s="50"/>
      <c r="W339" s="94">
        <f>IF(T30=$B$12,W341,IF(T30=$B$23,W343,0))</f>
        <v>0</v>
      </c>
      <c r="X339" s="95" t="s">
        <v>444</v>
      </c>
      <c r="Y339" s="87"/>
      <c r="Z339" s="88"/>
      <c r="AA339" s="89"/>
      <c r="AB339" s="89"/>
      <c r="AC339" s="94">
        <f>IF(AC30=$B$12,AC341,IF(AC30=$B$23,AC343,0))</f>
        <v>0</v>
      </c>
      <c r="AD339" s="95" t="s">
        <v>245</v>
      </c>
      <c r="AE339" s="50"/>
      <c r="AF339" s="94">
        <f>IF(AC30=$B$12,AF341,IF(AC30=$B$23,AF343,0))</f>
        <v>0</v>
      </c>
      <c r="AG339" s="95" t="s">
        <v>444</v>
      </c>
      <c r="AH339" s="87"/>
      <c r="AI339" s="88"/>
      <c r="AJ339" s="89"/>
      <c r="AK339" s="89"/>
      <c r="AL339" s="94">
        <f>IF(AL30=$B$12,AL341,IF(AL30=$B$23,AL343,0))</f>
        <v>0</v>
      </c>
      <c r="AM339" s="95" t="s">
        <v>245</v>
      </c>
      <c r="AN339" s="50"/>
      <c r="AO339" s="94">
        <f>IF(AL30=$B$12,AO341,IF(AL30=$B$23,AO343,0))</f>
        <v>0</v>
      </c>
      <c r="AP339" s="95" t="s">
        <v>444</v>
      </c>
      <c r="AQ339" s="87"/>
      <c r="AR339" s="88"/>
      <c r="AS339" s="80"/>
    </row>
    <row r="340" spans="1:45" ht="3.75" customHeight="1" x14ac:dyDescent="0.2">
      <c r="J340" s="44"/>
      <c r="K340" s="44"/>
      <c r="L340" s="44"/>
      <c r="M340" s="44"/>
      <c r="N340" s="44"/>
      <c r="O340" s="44"/>
      <c r="P340" s="89"/>
      <c r="Q340" s="298"/>
      <c r="R340" s="89"/>
      <c r="S340" s="89"/>
      <c r="W340" s="58"/>
      <c r="Y340" s="87"/>
      <c r="Z340" s="88"/>
      <c r="AA340" s="89"/>
      <c r="AB340" s="89"/>
      <c r="AC340" s="58"/>
      <c r="AF340" s="58"/>
      <c r="AH340" s="87"/>
      <c r="AI340" s="88"/>
      <c r="AJ340" s="89"/>
      <c r="AK340" s="89"/>
      <c r="AL340" s="58"/>
      <c r="AO340" s="58"/>
      <c r="AQ340" s="87"/>
      <c r="AR340" s="88"/>
      <c r="AS340" s="81"/>
    </row>
    <row r="341" spans="1:45" hidden="1" x14ac:dyDescent="0.2">
      <c r="A341" s="62" t="s">
        <v>263</v>
      </c>
      <c r="G341" s="103" t="s">
        <v>494</v>
      </c>
      <c r="J341" s="44"/>
      <c r="K341" s="44"/>
      <c r="L341" s="44"/>
      <c r="M341" s="44"/>
      <c r="N341" s="44"/>
      <c r="O341" s="44"/>
      <c r="P341" s="295"/>
      <c r="Q341" s="298"/>
      <c r="R341" s="89"/>
      <c r="S341" s="89"/>
      <c r="T341" s="94">
        <f>IF(AND(T30=$B$12,T67="Yes"),T51*T189*T197*(T193*ABS(T201-T97)+T199)/60,0)</f>
        <v>0</v>
      </c>
      <c r="U341" s="95" t="s">
        <v>245</v>
      </c>
      <c r="V341" s="50"/>
      <c r="W341" s="94">
        <f>IF(AND(T30=$B$12,W67="Yes"),W51*W189*W197*(W193*ABS(W201-W97)+W199)*60,0)/$U$22</f>
        <v>0</v>
      </c>
      <c r="X341" s="95" t="s">
        <v>444</v>
      </c>
      <c r="Y341" s="87"/>
      <c r="Z341" s="88"/>
      <c r="AA341" s="89"/>
      <c r="AB341" s="89"/>
      <c r="AC341" s="94">
        <f>IF(AND(AC30=$B$12,AC67="Yes"),AC51*AC189*AC197*(AC193*ABS(AC201-AC97)+AC199)/60,0)</f>
        <v>0</v>
      </c>
      <c r="AD341" s="95" t="s">
        <v>245</v>
      </c>
      <c r="AE341" s="50"/>
      <c r="AF341" s="94">
        <f>IF(AND(AC30=$B$12,AF67="Yes"),AF51*AF189*AF197*(AF193*ABS(AF201-AF97)+AF199)*60,0)/$U$22</f>
        <v>0</v>
      </c>
      <c r="AG341" s="95" t="s">
        <v>444</v>
      </c>
      <c r="AH341" s="87"/>
      <c r="AI341" s="88"/>
      <c r="AJ341" s="89"/>
      <c r="AK341" s="89"/>
      <c r="AL341" s="94">
        <f>IF(AND(AL30=$B$12,AL67="Yes"),AL51*AL189*AL197*(AL193*ABS(AL201-AL97)+AL199)/60,0)</f>
        <v>0</v>
      </c>
      <c r="AM341" s="95" t="s">
        <v>245</v>
      </c>
      <c r="AN341" s="50"/>
      <c r="AO341" s="94">
        <f>IF(AND(AL30=$B$12,AO67="Yes"),AO51*AO189*AO197*(AO193*ABS(AO201-AO97)+AO199)*60,0)/$U$22</f>
        <v>0</v>
      </c>
      <c r="AP341" s="95" t="s">
        <v>444</v>
      </c>
      <c r="AQ341" s="87"/>
      <c r="AR341" s="88"/>
      <c r="AS341" s="80"/>
    </row>
    <row r="342" spans="1:45" ht="3.75" hidden="1" customHeight="1" x14ac:dyDescent="0.2">
      <c r="A342" s="62"/>
      <c r="G342" s="103"/>
      <c r="J342" s="44"/>
      <c r="K342" s="44"/>
      <c r="L342" s="44"/>
      <c r="M342" s="44"/>
      <c r="N342" s="44"/>
      <c r="O342" s="44"/>
      <c r="P342" s="295"/>
      <c r="Q342" s="298"/>
      <c r="R342" s="89"/>
      <c r="S342" s="89"/>
      <c r="W342" s="58"/>
      <c r="Y342" s="87"/>
      <c r="Z342" s="88"/>
      <c r="AA342" s="89"/>
      <c r="AB342" s="89"/>
      <c r="AC342" s="58"/>
      <c r="AF342" s="58"/>
      <c r="AH342" s="87"/>
      <c r="AI342" s="88"/>
      <c r="AJ342" s="89"/>
      <c r="AK342" s="89"/>
      <c r="AL342" s="58"/>
      <c r="AO342" s="58"/>
      <c r="AQ342" s="87"/>
      <c r="AR342" s="88"/>
      <c r="AS342" s="81"/>
    </row>
    <row r="343" spans="1:45" hidden="1" x14ac:dyDescent="0.2">
      <c r="A343" s="62" t="s">
        <v>263</v>
      </c>
      <c r="G343" s="103" t="s">
        <v>492</v>
      </c>
      <c r="J343" s="44"/>
      <c r="K343" s="44"/>
      <c r="L343" s="44"/>
      <c r="M343" s="44"/>
      <c r="N343" s="44"/>
      <c r="O343" s="44"/>
      <c r="P343" s="295"/>
      <c r="Q343" s="298"/>
      <c r="R343" s="89"/>
      <c r="S343" s="89"/>
      <c r="T343" s="94">
        <f>IF(AND(T30=$B$23,T67="Yes"),T51*T133*T149*T141*(T137*ABS(T145-T119)+T143)/60,0)</f>
        <v>0</v>
      </c>
      <c r="U343" s="95" t="s">
        <v>245</v>
      </c>
      <c r="V343" s="50"/>
      <c r="W343" s="94">
        <f>IF(AND(T30=$B$23,W67="Yes"),W51*W133*W149*W141*(W137*ABS(W145-W119)+W143)*60,0)/$U$22</f>
        <v>0</v>
      </c>
      <c r="X343" s="95" t="s">
        <v>444</v>
      </c>
      <c r="Y343" s="87"/>
      <c r="Z343" s="88"/>
      <c r="AA343" s="89"/>
      <c r="AB343" s="89"/>
      <c r="AC343" s="94">
        <f>IF(AND(AC30=$B$23,AC67="Yes"),AC51*AC133*AC149*AC141*(AC137*ABS(AC145-AC119)+AC143)/60,0)</f>
        <v>0</v>
      </c>
      <c r="AD343" s="95" t="s">
        <v>245</v>
      </c>
      <c r="AE343" s="50"/>
      <c r="AF343" s="94">
        <f>IF(AND(AC30=$B$23,AF67="Yes"),AF51*AF133*AF149*AF141*(AF137*ABS(AF145-AF119)+AF143)*60,0)/$U$22</f>
        <v>0</v>
      </c>
      <c r="AG343" s="95" t="s">
        <v>444</v>
      </c>
      <c r="AH343" s="87"/>
      <c r="AI343" s="88"/>
      <c r="AJ343" s="89"/>
      <c r="AK343" s="89"/>
      <c r="AL343" s="94">
        <f>IF(AND(AL30=$B$23,AL67="Yes"),AL51*AL133*AL149*AL141*(AL137*ABS(AL145-AL119)+AL143)/60,0)</f>
        <v>0</v>
      </c>
      <c r="AM343" s="95" t="s">
        <v>245</v>
      </c>
      <c r="AN343" s="50"/>
      <c r="AO343" s="94">
        <f>IF(AND(AL30=$B$23,AO67="Yes"),AO51*AO133*AO149*AO141*(AO137*ABS(AO145-AO119)+AO143)*60,0)/$U$22</f>
        <v>0</v>
      </c>
      <c r="AP343" s="95" t="s">
        <v>444</v>
      </c>
      <c r="AQ343" s="87"/>
      <c r="AR343" s="88"/>
      <c r="AS343" s="80"/>
    </row>
    <row r="344" spans="1:45" ht="3.75" hidden="1" customHeight="1" x14ac:dyDescent="0.2">
      <c r="A344" s="62"/>
      <c r="P344" s="89"/>
      <c r="Q344" s="298"/>
      <c r="R344" s="89"/>
      <c r="S344" s="89"/>
      <c r="W344" s="58"/>
      <c r="Y344" s="87"/>
      <c r="Z344" s="88"/>
      <c r="AA344" s="89"/>
      <c r="AB344" s="89"/>
      <c r="AC344" s="58"/>
      <c r="AF344" s="58"/>
      <c r="AH344" s="87"/>
      <c r="AI344" s="88"/>
      <c r="AJ344" s="89"/>
      <c r="AK344" s="89"/>
      <c r="AL344" s="58"/>
      <c r="AO344" s="58"/>
      <c r="AQ344" s="87"/>
      <c r="AR344" s="88"/>
      <c r="AS344" s="81"/>
    </row>
    <row r="345" spans="1:45" x14ac:dyDescent="0.2">
      <c r="G345" s="43" t="s">
        <v>326</v>
      </c>
      <c r="J345" s="44" t="s">
        <v>245</v>
      </c>
      <c r="K345" s="117">
        <f>IF(UnitsOfMeasure="Metric",T345,W345*$U$21)</f>
        <v>0</v>
      </c>
      <c r="M345" s="117">
        <f>IF(UnitsOfMeasure="Metric",AC345,AF345*$U$21)</f>
        <v>0</v>
      </c>
      <c r="O345" s="117">
        <f>IF(UnitsOfMeasure="Metric",AL345,AO345*$U$21)</f>
        <v>0</v>
      </c>
      <c r="P345" s="89"/>
      <c r="Q345" s="298"/>
      <c r="R345" s="89"/>
      <c r="S345" s="89"/>
      <c r="T345" s="94">
        <f>T237</f>
        <v>0</v>
      </c>
      <c r="U345" s="95" t="s">
        <v>245</v>
      </c>
      <c r="V345" s="50"/>
      <c r="W345" s="94">
        <f>W237/$U$22</f>
        <v>0</v>
      </c>
      <c r="X345" s="95" t="s">
        <v>444</v>
      </c>
      <c r="Y345" s="87"/>
      <c r="Z345" s="88"/>
      <c r="AA345" s="89"/>
      <c r="AB345" s="89"/>
      <c r="AC345" s="94">
        <f>AC237</f>
        <v>0</v>
      </c>
      <c r="AD345" s="95" t="s">
        <v>245</v>
      </c>
      <c r="AE345" s="50"/>
      <c r="AF345" s="94">
        <f>AF237/$U$22</f>
        <v>0</v>
      </c>
      <c r="AG345" s="95" t="s">
        <v>444</v>
      </c>
      <c r="AH345" s="87"/>
      <c r="AI345" s="88"/>
      <c r="AJ345" s="89"/>
      <c r="AK345" s="89"/>
      <c r="AL345" s="94">
        <f>AL237</f>
        <v>0</v>
      </c>
      <c r="AM345" s="95" t="s">
        <v>245</v>
      </c>
      <c r="AN345" s="50"/>
      <c r="AO345" s="94">
        <f>AO237/$U$22</f>
        <v>0</v>
      </c>
      <c r="AP345" s="95" t="s">
        <v>444</v>
      </c>
      <c r="AQ345" s="87"/>
      <c r="AR345" s="88"/>
      <c r="AS345" s="80"/>
    </row>
    <row r="346" spans="1:45" ht="3.75" customHeight="1" x14ac:dyDescent="0.2">
      <c r="P346" s="89"/>
      <c r="Q346" s="298"/>
      <c r="R346" s="89"/>
      <c r="S346" s="89"/>
      <c r="W346" s="58"/>
      <c r="Y346" s="87"/>
      <c r="Z346" s="88"/>
      <c r="AA346" s="89"/>
      <c r="AB346" s="89"/>
      <c r="AC346" s="58"/>
      <c r="AF346" s="58"/>
      <c r="AH346" s="87"/>
      <c r="AI346" s="88"/>
      <c r="AJ346" s="89"/>
      <c r="AK346" s="89"/>
      <c r="AL346" s="58"/>
      <c r="AO346" s="58"/>
      <c r="AQ346" s="87"/>
      <c r="AR346" s="88"/>
      <c r="AS346" s="81"/>
    </row>
    <row r="347" spans="1:45" x14ac:dyDescent="0.2">
      <c r="G347" s="43" t="s">
        <v>327</v>
      </c>
      <c r="J347" s="44" t="s">
        <v>245</v>
      </c>
      <c r="K347" s="117">
        <f>IF(UnitsOfMeasure="Metric",T347,W347*$U$21)</f>
        <v>6.3240356174508703</v>
      </c>
      <c r="M347" s="117">
        <f>IF(UnitsOfMeasure="Metric",AC347,AF347*$U$21)</f>
        <v>7.7042586996691069</v>
      </c>
      <c r="O347" s="117">
        <f>IF(UnitsOfMeasure="Metric",AL347,AO347*$U$21)</f>
        <v>1.4816302047093957</v>
      </c>
      <c r="P347" s="89"/>
      <c r="Q347" s="298"/>
      <c r="R347" s="89"/>
      <c r="S347" s="89"/>
      <c r="T347" s="94">
        <f>SUM(T317,T319,T329,T339,T345)</f>
        <v>6.3240331572266619</v>
      </c>
      <c r="U347" s="95" t="s">
        <v>245</v>
      </c>
      <c r="V347" s="50"/>
      <c r="W347" s="94">
        <f>SUM(W317,W319,W329,W339,W345)</f>
        <v>8.4806699979225826</v>
      </c>
      <c r="X347" s="95" t="s">
        <v>444</v>
      </c>
      <c r="Y347" s="87"/>
      <c r="Z347" s="88"/>
      <c r="AA347" s="89"/>
      <c r="AB347" s="89"/>
      <c r="AC347" s="94">
        <f>SUM(AC317,AC319,AC329,AC339,AC345)</f>
        <v>7.704255702500002</v>
      </c>
      <c r="AD347" s="95" t="s">
        <v>245</v>
      </c>
      <c r="AE347" s="50"/>
      <c r="AF347" s="94">
        <f>SUM(AF317,AF319,AF329,AF339,AF345)</f>
        <v>10.331579320999204</v>
      </c>
      <c r="AG347" s="95" t="s">
        <v>444</v>
      </c>
      <c r="AH347" s="87"/>
      <c r="AI347" s="88"/>
      <c r="AJ347" s="89"/>
      <c r="AK347" s="89"/>
      <c r="AL347" s="94">
        <f>SUM(AL317,AL319,AL329,AL339,AL345)</f>
        <v>1.4816272703497331</v>
      </c>
      <c r="AM347" s="95" t="s">
        <v>245</v>
      </c>
      <c r="AN347" s="50"/>
      <c r="AO347" s="94">
        <f>SUM(AO317,AO319,AO329,AO339,AO345)</f>
        <v>1.9868984909607021</v>
      </c>
      <c r="AP347" s="95" t="s">
        <v>444</v>
      </c>
      <c r="AQ347" s="87"/>
      <c r="AR347" s="88"/>
      <c r="AS347" s="80"/>
    </row>
    <row r="348" spans="1:45" x14ac:dyDescent="0.2">
      <c r="P348" s="89"/>
      <c r="Q348" s="298"/>
      <c r="R348" s="89"/>
      <c r="S348" s="89"/>
      <c r="W348" s="58"/>
      <c r="Y348" s="87"/>
      <c r="Z348" s="88"/>
      <c r="AA348" s="89"/>
      <c r="AB348" s="89"/>
      <c r="AC348" s="58"/>
      <c r="AF348" s="58"/>
      <c r="AH348" s="87"/>
      <c r="AI348" s="88"/>
      <c r="AJ348" s="89"/>
      <c r="AK348" s="89"/>
      <c r="AL348" s="58"/>
      <c r="AO348" s="58"/>
      <c r="AQ348" s="87"/>
      <c r="AR348" s="88"/>
      <c r="AS348" s="81"/>
    </row>
    <row r="349" spans="1:45" x14ac:dyDescent="0.2">
      <c r="B349" s="106" t="s">
        <v>330</v>
      </c>
      <c r="P349" s="89"/>
      <c r="Q349" s="298"/>
      <c r="R349" s="89"/>
      <c r="W349" s="58"/>
      <c r="Y349" s="87"/>
      <c r="Z349" s="88"/>
      <c r="AA349" s="89"/>
      <c r="AC349" s="58"/>
      <c r="AF349" s="58"/>
      <c r="AH349" s="87"/>
      <c r="AI349" s="88"/>
      <c r="AJ349" s="89"/>
      <c r="AL349" s="58"/>
      <c r="AO349" s="58"/>
      <c r="AQ349" s="87"/>
      <c r="AR349" s="88"/>
      <c r="AS349" s="80"/>
    </row>
    <row r="350" spans="1:45" ht="17.25" x14ac:dyDescent="0.2">
      <c r="G350" s="43" t="s">
        <v>331</v>
      </c>
      <c r="J350" s="44" t="s">
        <v>514</v>
      </c>
      <c r="K350" s="118">
        <f>IF(UnitsOfMeasure="Metric",T350/1000,W350/($U$23*1000))</f>
        <v>30.714180282734105</v>
      </c>
      <c r="L350" s="119"/>
      <c r="M350" s="118">
        <f>IF(UnitsOfMeasure="Metric",AC350/1000,AF350/($U$23*1000))</f>
        <v>37.417561342237001</v>
      </c>
      <c r="N350" s="119"/>
      <c r="O350" s="118">
        <f>IF(UnitsOfMeasure="Metric",AL350/1000,AO350/($U$23*1000))</f>
        <v>7.195888823619855</v>
      </c>
      <c r="P350" s="89"/>
      <c r="Q350" s="298"/>
      <c r="R350" s="89"/>
      <c r="S350" s="89"/>
      <c r="T350" s="94">
        <f>24*T53*T347*$AD$20</f>
        <v>30714.168334071186</v>
      </c>
      <c r="U350" s="95" t="s">
        <v>504</v>
      </c>
      <c r="V350" s="50"/>
      <c r="W350" s="94">
        <f>24*W53*W347*$AD$21*$U$21</f>
        <v>67713.096134921259</v>
      </c>
      <c r="X350" s="95" t="s">
        <v>505</v>
      </c>
      <c r="Y350" s="87"/>
      <c r="Z350" s="88"/>
      <c r="AA350" s="89"/>
      <c r="AB350" s="89"/>
      <c r="AC350" s="94">
        <f>24*AC53*AC347*$AD$20</f>
        <v>37417.546785773717</v>
      </c>
      <c r="AD350" s="95" t="s">
        <v>504</v>
      </c>
      <c r="AE350" s="50"/>
      <c r="AF350" s="94">
        <f>24*AF53*AF347*$AD$21*$U$21</f>
        <v>82491.504086322529</v>
      </c>
      <c r="AG350" s="95" t="s">
        <v>505</v>
      </c>
      <c r="AH350" s="87"/>
      <c r="AI350" s="88"/>
      <c r="AJ350" s="89"/>
      <c r="AK350" s="89"/>
      <c r="AL350" s="94">
        <f>24*AL53*AL347*$AD$20</f>
        <v>7195.8745722055464</v>
      </c>
      <c r="AM350" s="95" t="s">
        <v>504</v>
      </c>
      <c r="AN350" s="50"/>
      <c r="AO350" s="94">
        <f>24*AO53*AO347*$AD$21*$U$21</f>
        <v>15864.200418328805</v>
      </c>
      <c r="AP350" s="95" t="s">
        <v>505</v>
      </c>
      <c r="AQ350" s="87"/>
      <c r="AR350" s="88"/>
      <c r="AS350" s="116"/>
    </row>
    <row r="351" spans="1:45" x14ac:dyDescent="0.2">
      <c r="P351" s="89"/>
      <c r="Q351" s="298"/>
      <c r="R351" s="89"/>
      <c r="S351" s="89"/>
      <c r="Y351" s="87"/>
      <c r="Z351" s="88"/>
      <c r="AA351" s="89"/>
      <c r="AB351" s="89"/>
      <c r="AH351" s="87"/>
      <c r="AI351" s="88"/>
      <c r="AJ351" s="89"/>
      <c r="AK351" s="89"/>
      <c r="AQ351" s="87"/>
      <c r="AR351" s="88"/>
      <c r="AS351" s="81"/>
    </row>
    <row r="352" spans="1:45" x14ac:dyDescent="0.2">
      <c r="P352" s="89"/>
      <c r="Q352" s="298"/>
      <c r="R352" s="89"/>
      <c r="S352" s="89"/>
      <c r="T352" s="89"/>
      <c r="U352" s="89"/>
      <c r="V352" s="89"/>
      <c r="W352" s="89"/>
      <c r="X352" s="89"/>
      <c r="Y352" s="87"/>
      <c r="Z352" s="88"/>
      <c r="AA352" s="89"/>
      <c r="AH352" s="87"/>
      <c r="AI352" s="88"/>
      <c r="AJ352" s="89"/>
      <c r="AQ352" s="87"/>
      <c r="AR352" s="88"/>
      <c r="AS352" s="80"/>
    </row>
    <row r="353" spans="2:45" ht="19.5" x14ac:dyDescent="0.2">
      <c r="B353" s="120" t="s">
        <v>323</v>
      </c>
      <c r="J353" s="121" t="str">
        <f>IF(UnitsOfMeasure="Metric","€","$")</f>
        <v>$</v>
      </c>
      <c r="K353" s="115">
        <f>K310+K312+K314</f>
        <v>55719.131138169461</v>
      </c>
      <c r="M353" s="115">
        <f>M310+M312+M314</f>
        <v>67240.509709614649</v>
      </c>
      <c r="O353" s="115">
        <f>O310+O312+O314</f>
        <v>46199.042066827707</v>
      </c>
      <c r="P353" s="89"/>
      <c r="Q353" s="298"/>
      <c r="R353" s="89"/>
      <c r="S353" s="89"/>
      <c r="T353" s="89"/>
      <c r="U353" s="89"/>
      <c r="V353" s="89"/>
      <c r="W353" s="89"/>
      <c r="X353" s="89"/>
      <c r="Y353" s="87"/>
      <c r="Z353" s="88"/>
      <c r="AA353" s="89"/>
      <c r="AB353" s="89"/>
      <c r="AC353" s="89"/>
      <c r="AD353" s="89"/>
      <c r="AE353" s="89"/>
      <c r="AF353" s="89"/>
      <c r="AG353" s="89"/>
      <c r="AH353" s="87"/>
      <c r="AI353" s="88"/>
      <c r="AJ353" s="89"/>
      <c r="AK353" s="89"/>
      <c r="AL353" s="89"/>
      <c r="AM353" s="89"/>
      <c r="AN353" s="89"/>
      <c r="AO353" s="89"/>
      <c r="AP353" s="89"/>
      <c r="AQ353" s="87"/>
      <c r="AR353" s="88"/>
      <c r="AS353" s="80"/>
    </row>
    <row r="354" spans="2:45" ht="18" customHeight="1" x14ac:dyDescent="0.2">
      <c r="K354" s="128" t="str">
        <f>IF(K353=MIN($K$353,$M$353,$O$353),"Best Case","")</f>
        <v/>
      </c>
      <c r="L354" s="129"/>
      <c r="M354" s="128" t="str">
        <f>IF(M353=MIN($K$353,$M$353,$O$353),"Best Case","")</f>
        <v/>
      </c>
      <c r="N354" s="129"/>
      <c r="O354" s="128" t="str">
        <f>IF(O353=MIN($K$353,$M$353,$O$353),"Best Case","")</f>
        <v>Best Case</v>
      </c>
      <c r="P354" s="89"/>
      <c r="Q354" s="298"/>
      <c r="R354" s="89"/>
      <c r="S354" s="89"/>
      <c r="T354" s="89"/>
      <c r="U354" s="89"/>
      <c r="V354" s="89"/>
      <c r="W354" s="89"/>
      <c r="X354" s="89"/>
      <c r="Y354" s="87"/>
      <c r="Z354" s="88"/>
      <c r="AA354" s="89"/>
      <c r="AB354" s="89"/>
      <c r="AH354" s="87"/>
      <c r="AI354" s="88"/>
      <c r="AJ354" s="89"/>
      <c r="AK354" s="89"/>
      <c r="AQ354" s="87"/>
      <c r="AR354" s="88"/>
    </row>
    <row r="355" spans="2:45" x14ac:dyDescent="0.2">
      <c r="R355" s="89"/>
      <c r="AA355" s="89"/>
      <c r="AJ355" s="89"/>
    </row>
    <row r="356" spans="2:45" x14ac:dyDescent="0.2">
      <c r="R356" s="89"/>
      <c r="AA356" s="89"/>
      <c r="AJ356" s="89"/>
    </row>
    <row r="357" spans="2:45" x14ac:dyDescent="0.2">
      <c r="R357" s="89"/>
      <c r="AA357" s="89"/>
      <c r="AJ357" s="89"/>
    </row>
    <row r="358" spans="2:45" x14ac:dyDescent="0.2">
      <c r="R358" s="89"/>
      <c r="U358" s="58"/>
      <c r="AA358" s="89"/>
      <c r="AJ358" s="89"/>
    </row>
    <row r="359" spans="2:45" x14ac:dyDescent="0.2">
      <c r="R359" s="89"/>
      <c r="U359" s="58"/>
      <c r="AA359" s="89"/>
      <c r="AJ359" s="89"/>
    </row>
    <row r="360" spans="2:45" x14ac:dyDescent="0.2">
      <c r="R360" s="89"/>
      <c r="U360" s="58"/>
      <c r="AA360" s="89"/>
      <c r="AJ360" s="89"/>
    </row>
    <row r="361" spans="2:45" x14ac:dyDescent="0.2">
      <c r="R361" s="89"/>
      <c r="U361" s="58"/>
      <c r="AA361" s="89"/>
      <c r="AJ361" s="89"/>
    </row>
    <row r="362" spans="2:45" x14ac:dyDescent="0.2">
      <c r="R362" s="89"/>
      <c r="U362" s="58"/>
      <c r="AA362" s="89"/>
      <c r="AJ362" s="89"/>
    </row>
    <row r="363" spans="2:45" x14ac:dyDescent="0.2">
      <c r="R363" s="89"/>
      <c r="AA363" s="89"/>
      <c r="AJ363" s="89"/>
    </row>
    <row r="364" spans="2:45" x14ac:dyDescent="0.2">
      <c r="R364" s="50"/>
      <c r="AA364" s="50"/>
      <c r="AJ364" s="89"/>
    </row>
    <row r="365" spans="2:45" x14ac:dyDescent="0.2">
      <c r="R365" s="50"/>
      <c r="AA365" s="50"/>
      <c r="AJ365" s="89"/>
    </row>
    <row r="366" spans="2:45" x14ac:dyDescent="0.2">
      <c r="R366" s="50"/>
      <c r="AA366" s="50"/>
      <c r="AJ366" s="50"/>
    </row>
    <row r="367" spans="2:45" x14ac:dyDescent="0.2">
      <c r="R367" s="50"/>
      <c r="AA367" s="50"/>
      <c r="AJ367" s="50"/>
    </row>
    <row r="368" spans="2:45" x14ac:dyDescent="0.2">
      <c r="R368" s="50"/>
      <c r="AA368" s="50"/>
      <c r="AJ368" s="50"/>
    </row>
    <row r="369" spans="18:36" x14ac:dyDescent="0.2">
      <c r="R369" s="50"/>
      <c r="AA369" s="50"/>
      <c r="AJ369" s="50"/>
    </row>
    <row r="370" spans="18:36" x14ac:dyDescent="0.2">
      <c r="R370" s="50"/>
      <c r="AA370" s="50"/>
      <c r="AJ370" s="50"/>
    </row>
    <row r="371" spans="18:36" x14ac:dyDescent="0.2">
      <c r="R371" s="50"/>
      <c r="AA371" s="50"/>
      <c r="AJ371" s="50"/>
    </row>
    <row r="372" spans="18:36" x14ac:dyDescent="0.2">
      <c r="R372" s="50"/>
      <c r="AA372" s="50"/>
      <c r="AJ372" s="50"/>
    </row>
    <row r="373" spans="18:36" x14ac:dyDescent="0.2">
      <c r="R373" s="50"/>
      <c r="AA373" s="50"/>
      <c r="AJ373" s="50"/>
    </row>
    <row r="374" spans="18:36" x14ac:dyDescent="0.2">
      <c r="R374" s="50"/>
      <c r="AA374" s="50"/>
      <c r="AJ374" s="50"/>
    </row>
    <row r="375" spans="18:36" x14ac:dyDescent="0.2">
      <c r="R375" s="50"/>
      <c r="AA375" s="50"/>
      <c r="AJ375" s="50"/>
    </row>
    <row r="376" spans="18:36" x14ac:dyDescent="0.2">
      <c r="R376" s="50"/>
      <c r="AA376" s="50"/>
      <c r="AJ376" s="50"/>
    </row>
    <row r="377" spans="18:36" x14ac:dyDescent="0.2">
      <c r="R377" s="50"/>
      <c r="AA377" s="50"/>
      <c r="AJ377" s="50"/>
    </row>
    <row r="378" spans="18:36" x14ac:dyDescent="0.2">
      <c r="R378" s="50"/>
      <c r="AA378" s="50"/>
      <c r="AJ378" s="50"/>
    </row>
    <row r="379" spans="18:36" x14ac:dyDescent="0.2">
      <c r="R379" s="50"/>
      <c r="AA379" s="50"/>
      <c r="AJ379" s="50"/>
    </row>
    <row r="380" spans="18:36" x14ac:dyDescent="0.2">
      <c r="R380" s="50"/>
      <c r="AA380" s="50"/>
      <c r="AJ380" s="50"/>
    </row>
    <row r="381" spans="18:36" x14ac:dyDescent="0.2">
      <c r="R381" s="50"/>
      <c r="AA381" s="50"/>
      <c r="AJ381" s="50"/>
    </row>
    <row r="382" spans="18:36" x14ac:dyDescent="0.2">
      <c r="R382" s="50"/>
      <c r="AA382" s="50"/>
      <c r="AJ382" s="50"/>
    </row>
    <row r="383" spans="18:36" x14ac:dyDescent="0.2">
      <c r="R383" s="50"/>
      <c r="AA383" s="50"/>
      <c r="AJ383" s="50"/>
    </row>
    <row r="384" spans="18:36" x14ac:dyDescent="0.2">
      <c r="R384" s="50"/>
      <c r="AA384" s="50"/>
      <c r="AJ384" s="50"/>
    </row>
    <row r="385" spans="18:36" x14ac:dyDescent="0.2">
      <c r="R385" s="50"/>
      <c r="AA385" s="50"/>
      <c r="AJ385" s="50"/>
    </row>
    <row r="386" spans="18:36" x14ac:dyDescent="0.2">
      <c r="R386" s="50"/>
      <c r="AA386" s="50"/>
      <c r="AJ386" s="50"/>
    </row>
    <row r="387" spans="18:36" x14ac:dyDescent="0.2">
      <c r="R387" s="50"/>
      <c r="AA387" s="50"/>
      <c r="AJ387" s="50"/>
    </row>
    <row r="388" spans="18:36" x14ac:dyDescent="0.2">
      <c r="R388" s="50"/>
      <c r="AA388" s="50"/>
      <c r="AJ388" s="50"/>
    </row>
    <row r="389" spans="18:36" x14ac:dyDescent="0.2">
      <c r="R389" s="50"/>
      <c r="AA389" s="50"/>
      <c r="AJ389" s="50"/>
    </row>
    <row r="390" spans="18:36" x14ac:dyDescent="0.2">
      <c r="R390" s="50"/>
      <c r="AA390" s="50"/>
      <c r="AJ390" s="50"/>
    </row>
    <row r="391" spans="18:36" x14ac:dyDescent="0.2">
      <c r="R391" s="50"/>
      <c r="AA391" s="50"/>
      <c r="AJ391" s="50"/>
    </row>
    <row r="392" spans="18:36" x14ac:dyDescent="0.2">
      <c r="R392" s="50"/>
      <c r="AA392" s="50"/>
      <c r="AJ392" s="50"/>
    </row>
    <row r="393" spans="18:36" x14ac:dyDescent="0.2">
      <c r="R393" s="50"/>
      <c r="AA393" s="50"/>
      <c r="AJ393" s="50"/>
    </row>
    <row r="394" spans="18:36" x14ac:dyDescent="0.2">
      <c r="R394" s="50"/>
      <c r="AA394" s="50"/>
      <c r="AJ394" s="50"/>
    </row>
    <row r="395" spans="18:36" x14ac:dyDescent="0.2">
      <c r="AJ395" s="50"/>
    </row>
    <row r="396" spans="18:36" x14ac:dyDescent="0.2">
      <c r="AJ396" s="50"/>
    </row>
  </sheetData>
  <sheetProtection password="EFB4" sheet="1" objects="1" scenarios="1" selectLockedCells="1"/>
  <mergeCells count="7">
    <mergeCell ref="K28:O28"/>
    <mergeCell ref="AC10:AD10"/>
    <mergeCell ref="AC11:AC12"/>
    <mergeCell ref="AC13:AC14"/>
    <mergeCell ref="AC15:AC16"/>
    <mergeCell ref="AC18:AC19"/>
    <mergeCell ref="AC20:AC21"/>
  </mergeCells>
  <phoneticPr fontId="2" type="noConversion"/>
  <conditionalFormatting sqref="O61 O93 O91 O95 O97 O105 O107 O129 O133 O135 O187 O189 O211 O213 O237 O59 O63 O65 O67 O69 O71 O73 O83 O85 O87 O103 O109 O113 O115 O117 O125 O127 O131 O149 O151 O157 O191 O229 O231 O233 O235 O119 O147 O217 O205">
    <cfRule type="expression" dxfId="94" priority="338" stopIfTrue="1">
      <formula>AND(AJ59="Required",NOT(O59=$I59))</formula>
    </cfRule>
    <cfRule type="expression" dxfId="93" priority="562" stopIfTrue="1">
      <formula>(AJ59="Not Required")</formula>
    </cfRule>
  </conditionalFormatting>
  <conditionalFormatting sqref="O79">
    <cfRule type="expression" dxfId="92" priority="526" stopIfTrue="1">
      <formula>(AJ79="Not Required")</formula>
    </cfRule>
  </conditionalFormatting>
  <conditionalFormatting sqref="O81">
    <cfRule type="expression" dxfId="91" priority="524" stopIfTrue="1">
      <formula>(AJ81="Not Required")</formula>
    </cfRule>
  </conditionalFormatting>
  <conditionalFormatting sqref="O163">
    <cfRule type="expression" dxfId="90" priority="445" stopIfTrue="1">
      <formula>(AJ163="Not Required")</formula>
    </cfRule>
  </conditionalFormatting>
  <conditionalFormatting sqref="O161">
    <cfRule type="expression" dxfId="89" priority="448" stopIfTrue="1">
      <formula>(AJ161="Not Required")</formula>
    </cfRule>
  </conditionalFormatting>
  <conditionalFormatting sqref="O165">
    <cfRule type="expression" dxfId="88" priority="442" stopIfTrue="1">
      <formula>(AJ165="Not Required")</formula>
    </cfRule>
  </conditionalFormatting>
  <conditionalFormatting sqref="O167">
    <cfRule type="expression" dxfId="87" priority="439" stopIfTrue="1">
      <formula>(AJ167="Not Required")</formula>
    </cfRule>
  </conditionalFormatting>
  <conditionalFormatting sqref="O169">
    <cfRule type="expression" dxfId="86" priority="436" stopIfTrue="1">
      <formula>(AJ169="Not Required")</formula>
    </cfRule>
  </conditionalFormatting>
  <conditionalFormatting sqref="O177">
    <cfRule type="expression" dxfId="85" priority="433" stopIfTrue="1">
      <formula>(AJ177="Not Required")</formula>
    </cfRule>
  </conditionalFormatting>
  <conditionalFormatting sqref="O179">
    <cfRule type="expression" dxfId="84" priority="430" stopIfTrue="1">
      <formula>(AJ179="Not Required")</formula>
    </cfRule>
  </conditionalFormatting>
  <conditionalFormatting sqref="O175">
    <cfRule type="expression" dxfId="83" priority="427" stopIfTrue="1">
      <formula>(AJ175="Not Required")</formula>
    </cfRule>
  </conditionalFormatting>
  <conditionalFormatting sqref="O171">
    <cfRule type="expression" dxfId="82" priority="424" stopIfTrue="1">
      <formula>(AJ171="Not Required")</formula>
    </cfRule>
  </conditionalFormatting>
  <conditionalFormatting sqref="O173">
    <cfRule type="expression" dxfId="81" priority="421" stopIfTrue="1">
      <formula>(AJ173="Not Required")</formula>
    </cfRule>
  </conditionalFormatting>
  <conditionalFormatting sqref="O181">
    <cfRule type="expression" dxfId="80" priority="418" stopIfTrue="1">
      <formula>(AJ181="Not Required")</formula>
    </cfRule>
  </conditionalFormatting>
  <conditionalFormatting sqref="O183">
    <cfRule type="expression" dxfId="79" priority="415" stopIfTrue="1">
      <formula>(AJ183="Not Required")</formula>
    </cfRule>
  </conditionalFormatting>
  <conditionalFormatting sqref="O209">
    <cfRule type="expression" dxfId="78" priority="352" stopIfTrue="1">
      <formula>(AJ209="Not Required")</formula>
    </cfRule>
  </conditionalFormatting>
  <conditionalFormatting sqref="O227">
    <cfRule type="expression" dxfId="77" priority="373" stopIfTrue="1">
      <formula>(AJ227="Not Required")</formula>
    </cfRule>
  </conditionalFormatting>
  <conditionalFormatting sqref="O207">
    <cfRule type="expression" dxfId="76" priority="355" stopIfTrue="1">
      <formula>(AJ207="Not Required")</formula>
    </cfRule>
  </conditionalFormatting>
  <conditionalFormatting sqref="K35 K37 K45 K47 K49 K51 K53 K55">
    <cfRule type="expression" dxfId="75" priority="351" stopIfTrue="1">
      <formula>NOT(K35=$I35)</formula>
    </cfRule>
  </conditionalFormatting>
  <conditionalFormatting sqref="O77">
    <cfRule type="expression" dxfId="74" priority="95" stopIfTrue="1">
      <formula>(AJ77="Not Required")</formula>
    </cfRule>
  </conditionalFormatting>
  <conditionalFormatting sqref="K81 K161 K163 K165 K167 K169 K177 K179 K175 K171 K173 K181 K183 K227 K207 K209 K77 K101 K221 K225">
    <cfRule type="expression" dxfId="73" priority="2352" stopIfTrue="1">
      <formula>(R77="Not Required")</formula>
    </cfRule>
  </conditionalFormatting>
  <conditionalFormatting sqref="M101 M161 M163 M165 M167 M169 M177 M179 M175 M171 M173 M181 M183 M227 M207 M209 M81 M77 M79">
    <cfRule type="expression" dxfId="72" priority="90" stopIfTrue="1">
      <formula>(AA77="Not Required")</formula>
    </cfRule>
  </conditionalFormatting>
  <conditionalFormatting sqref="O101">
    <cfRule type="expression" dxfId="71" priority="89" stopIfTrue="1">
      <formula>(AJ101="Not Required")</formula>
    </cfRule>
  </conditionalFormatting>
  <conditionalFormatting sqref="M221">
    <cfRule type="expression" dxfId="70" priority="56" stopIfTrue="1">
      <formula>(AA221="Not Required")</formula>
    </cfRule>
  </conditionalFormatting>
  <conditionalFormatting sqref="O221">
    <cfRule type="expression" dxfId="69" priority="55" stopIfTrue="1">
      <formula>(AJ221="Not Required")</formula>
    </cfRule>
  </conditionalFormatting>
  <conditionalFormatting sqref="M225">
    <cfRule type="expression" dxfId="68" priority="50" stopIfTrue="1">
      <formula>(AA225="Not Required")</formula>
    </cfRule>
  </conditionalFormatting>
  <conditionalFormatting sqref="O225">
    <cfRule type="expression" dxfId="67" priority="49" stopIfTrue="1">
      <formula>(AJ225="Not Required")</formula>
    </cfRule>
  </conditionalFormatting>
  <conditionalFormatting sqref="M61 M93 M91 M95 M97 M105 M107 M129 M133 M135 M187 M189 M211 M213 M237 M59 M63 M65 M67 M69 M71 M73 M83 M85 M87 M103 M109 M113 M115 M117 M125 M127 M131 M149 M151 M157 M191 M229 M231 M233 M235 M119 M147 M217 M205">
    <cfRule type="expression" dxfId="66" priority="3207" stopIfTrue="1">
      <formula>AND(AA59="Required",NOT(M59=$I59))</formula>
    </cfRule>
    <cfRule type="expression" dxfId="65" priority="3208" stopIfTrue="1">
      <formula>(AA59="Not Required")</formula>
    </cfRule>
  </conditionalFormatting>
  <conditionalFormatting sqref="K69 K93 K91 K95 K97 K105 K107 K129 K133 K135 K187 K189 K211 K213 K237 K59 K63 K65 K67 K71 K73 K79 K83 K85 K87 K103 K109 K113 K115 K117 K125 K127 K131 K149 K151 K157 K191 K229 K231 K233 K235 K119 K147 K217 K61 K205">
    <cfRule type="expression" dxfId="64" priority="3649" stopIfTrue="1">
      <formula>AND(R59="Required",NOT(K59=$I59))</formula>
    </cfRule>
    <cfRule type="expression" dxfId="63" priority="3650" stopIfTrue="1">
      <formula>(R59="Not Required")</formula>
    </cfRule>
  </conditionalFormatting>
  <conditionalFormatting sqref="K354 M354 O354">
    <cfRule type="expression" dxfId="62" priority="3743" stopIfTrue="1">
      <formula>(K353=MIN($K$353,$M$353,$O$353))</formula>
    </cfRule>
  </conditionalFormatting>
  <conditionalFormatting sqref="K203">
    <cfRule type="expression" dxfId="61" priority="47" stopIfTrue="1">
      <formula>(R203="Not Required")</formula>
    </cfRule>
    <cfRule type="expression" dxfId="60" priority="48" stopIfTrue="1">
      <formula>AND(R203="Required",NOT(K203=K205))</formula>
    </cfRule>
  </conditionalFormatting>
  <conditionalFormatting sqref="M203">
    <cfRule type="expression" dxfId="59" priority="45" stopIfTrue="1">
      <formula>(AA203="Not Required")</formula>
    </cfRule>
    <cfRule type="expression" dxfId="58" priority="46" stopIfTrue="1">
      <formula>AND(AA203="Required",NOT(M203=M205))</formula>
    </cfRule>
  </conditionalFormatting>
  <conditionalFormatting sqref="O203">
    <cfRule type="expression" dxfId="57" priority="43" stopIfTrue="1">
      <formula>(AJ203="Not Required")</formula>
    </cfRule>
    <cfRule type="expression" dxfId="56" priority="44" stopIfTrue="1">
      <formula>AND(AJ203="Required",NOT(O203=O205))</formula>
    </cfRule>
  </conditionalFormatting>
  <conditionalFormatting sqref="K219">
    <cfRule type="expression" dxfId="55" priority="41" stopIfTrue="1">
      <formula>(R219="Not Required")</formula>
    </cfRule>
    <cfRule type="expression" dxfId="54" priority="42" stopIfTrue="1">
      <formula>AND(R219="Required",NOT(K219=K221))</formula>
    </cfRule>
  </conditionalFormatting>
  <conditionalFormatting sqref="M219">
    <cfRule type="expression" dxfId="53" priority="39" stopIfTrue="1">
      <formula>(AA219="Not Required")</formula>
    </cfRule>
    <cfRule type="expression" dxfId="52" priority="40" stopIfTrue="1">
      <formula>AND(AA219="Required",NOT(M219=M221))</formula>
    </cfRule>
  </conditionalFormatting>
  <conditionalFormatting sqref="O219">
    <cfRule type="expression" dxfId="51" priority="37" stopIfTrue="1">
      <formula>(AJ219="Not Required")</formula>
    </cfRule>
    <cfRule type="expression" dxfId="50" priority="38" stopIfTrue="1">
      <formula>AND(AJ219="Required",NOT(O219=O221))</formula>
    </cfRule>
  </conditionalFormatting>
  <conditionalFormatting sqref="K223">
    <cfRule type="expression" dxfId="49" priority="35" stopIfTrue="1">
      <formula>(R223="Not Required")</formula>
    </cfRule>
    <cfRule type="expression" dxfId="48" priority="36" stopIfTrue="1">
      <formula>AND(R223="Required",NOT(K223=K225))</formula>
    </cfRule>
  </conditionalFormatting>
  <conditionalFormatting sqref="M223">
    <cfRule type="expression" dxfId="47" priority="33" stopIfTrue="1">
      <formula>(AA223="Not Required")</formula>
    </cfRule>
    <cfRule type="expression" dxfId="46" priority="34" stopIfTrue="1">
      <formula>AND(AA223="Required",NOT(M223=M225))</formula>
    </cfRule>
  </conditionalFormatting>
  <conditionalFormatting sqref="O223">
    <cfRule type="expression" dxfId="45" priority="31" stopIfTrue="1">
      <formula>(AJ223="Not Required")</formula>
    </cfRule>
    <cfRule type="expression" dxfId="44" priority="32" stopIfTrue="1">
      <formula>AND(AJ223="Required",NOT(O223=O225))</formula>
    </cfRule>
  </conditionalFormatting>
  <conditionalFormatting sqref="K75">
    <cfRule type="expression" dxfId="43" priority="29" stopIfTrue="1">
      <formula>(R75="Not Required")</formula>
    </cfRule>
    <cfRule type="expression" dxfId="42" priority="30" stopIfTrue="1">
      <formula>AND(R75="Required",NOT(K75=K77))</formula>
    </cfRule>
  </conditionalFormatting>
  <conditionalFormatting sqref="M75">
    <cfRule type="expression" dxfId="41" priority="27" stopIfTrue="1">
      <formula>(AA75="Not Required")</formula>
    </cfRule>
    <cfRule type="expression" dxfId="40" priority="28" stopIfTrue="1">
      <formula>AND(AA75="Required",NOT(M75=M77))</formula>
    </cfRule>
  </conditionalFormatting>
  <conditionalFormatting sqref="O75">
    <cfRule type="expression" dxfId="39" priority="25" stopIfTrue="1">
      <formula>(AJ75="Not Required")</formula>
    </cfRule>
    <cfRule type="expression" dxfId="38" priority="26" stopIfTrue="1">
      <formula>AND(AJ75="Required",NOT(O75=O77))</formula>
    </cfRule>
  </conditionalFormatting>
  <conditionalFormatting sqref="K99">
    <cfRule type="expression" dxfId="37" priority="23" stopIfTrue="1">
      <formula>(R99="Not Required")</formula>
    </cfRule>
    <cfRule type="expression" dxfId="36" priority="24" stopIfTrue="1">
      <formula>AND(R99="Required",NOT(K99=K101))</formula>
    </cfRule>
  </conditionalFormatting>
  <conditionalFormatting sqref="M99">
    <cfRule type="expression" dxfId="35" priority="21" stopIfTrue="1">
      <formula>(AA99="Not Required")</formula>
    </cfRule>
    <cfRule type="expression" dxfId="34" priority="22" stopIfTrue="1">
      <formula>AND(AA99="Required",NOT(M99=M101))</formula>
    </cfRule>
  </conditionalFormatting>
  <conditionalFormatting sqref="O99">
    <cfRule type="expression" dxfId="33" priority="19" stopIfTrue="1">
      <formula>(AJ99="Not Required")</formula>
    </cfRule>
    <cfRule type="expression" dxfId="32" priority="20" stopIfTrue="1">
      <formula>AND(AJ99="Required",NOT(O99=O101))</formula>
    </cfRule>
  </conditionalFormatting>
  <conditionalFormatting sqref="K123">
    <cfRule type="expression" dxfId="31" priority="18" stopIfTrue="1">
      <formula>(R123="Not Required")</formula>
    </cfRule>
  </conditionalFormatting>
  <conditionalFormatting sqref="M123">
    <cfRule type="expression" dxfId="30" priority="17" stopIfTrue="1">
      <formula>(AA123="Not Required")</formula>
    </cfRule>
  </conditionalFormatting>
  <conditionalFormatting sqref="O123">
    <cfRule type="expression" dxfId="29" priority="16" stopIfTrue="1">
      <formula>(AJ123="Not Required")</formula>
    </cfRule>
  </conditionalFormatting>
  <conditionalFormatting sqref="K121">
    <cfRule type="expression" dxfId="28" priority="14" stopIfTrue="1">
      <formula>(R121="Not Required")</formula>
    </cfRule>
    <cfRule type="expression" dxfId="27" priority="15" stopIfTrue="1">
      <formula>AND(R121="Required",NOT(K121=K123))</formula>
    </cfRule>
  </conditionalFormatting>
  <conditionalFormatting sqref="M121">
    <cfRule type="expression" dxfId="26" priority="12" stopIfTrue="1">
      <formula>(AA121="Not Required")</formula>
    </cfRule>
    <cfRule type="expression" dxfId="25" priority="13" stopIfTrue="1">
      <formula>AND(AA121="Required",NOT(M121=M123))</formula>
    </cfRule>
  </conditionalFormatting>
  <conditionalFormatting sqref="O121">
    <cfRule type="expression" dxfId="24" priority="10" stopIfTrue="1">
      <formula>(AJ121="Not Required")</formula>
    </cfRule>
    <cfRule type="expression" dxfId="23" priority="11" stopIfTrue="1">
      <formula>AND(AJ121="Required",NOT(O121=O123))</formula>
    </cfRule>
  </conditionalFormatting>
  <conditionalFormatting sqref="K155">
    <cfRule type="expression" dxfId="22" priority="9" stopIfTrue="1">
      <formula>(R155="Not Required")</formula>
    </cfRule>
  </conditionalFormatting>
  <conditionalFormatting sqref="M155">
    <cfRule type="expression" dxfId="21" priority="8" stopIfTrue="1">
      <formula>(AA155="Not Required")</formula>
    </cfRule>
  </conditionalFormatting>
  <conditionalFormatting sqref="O155">
    <cfRule type="expression" dxfId="20" priority="7" stopIfTrue="1">
      <formula>(AJ155="Not Required")</formula>
    </cfRule>
  </conditionalFormatting>
  <conditionalFormatting sqref="K153">
    <cfRule type="expression" dxfId="19" priority="5" stopIfTrue="1">
      <formula>(R153="Not Required")</formula>
    </cfRule>
    <cfRule type="expression" dxfId="18" priority="6" stopIfTrue="1">
      <formula>AND(R153="Required",NOT(K153=K155))</formula>
    </cfRule>
  </conditionalFormatting>
  <conditionalFormatting sqref="M153">
    <cfRule type="expression" dxfId="17" priority="3" stopIfTrue="1">
      <formula>(AA153="Not Required")</formula>
    </cfRule>
    <cfRule type="expression" dxfId="16" priority="4" stopIfTrue="1">
      <formula>AND(AA153="Required",NOT(M153=M155))</formula>
    </cfRule>
  </conditionalFormatting>
  <conditionalFormatting sqref="O153">
    <cfRule type="expression" dxfId="15" priority="1" stopIfTrue="1">
      <formula>(AJ153="Not Required")</formula>
    </cfRule>
    <cfRule type="expression" dxfId="14" priority="2" stopIfTrue="1">
      <formula>AND(AJ153="Required",NOT(O153=O155))</formula>
    </cfRule>
  </conditionalFormatting>
  <dataValidations count="4">
    <dataValidation type="list" allowBlank="1" showInputMessage="1" showErrorMessage="1" sqref="M30 O30 K30">
      <formula1>$B$6:$B$23</formula1>
    </dataValidation>
    <dataValidation type="list" allowBlank="1" showInputMessage="1" showErrorMessage="1" sqref="M67 K59 O67 O59 M59 K67">
      <formula1>$T$4:$T$5</formula1>
    </dataValidation>
    <dataValidation type="list" allowBlank="1" showInputMessage="1" showErrorMessage="1" sqref="O135 M135 K135 O191 M191 K191">
      <formula1>$W$4:$W$12</formula1>
    </dataValidation>
    <dataValidation type="list" allowBlank="1" showInputMessage="1" showErrorMessage="1" sqref="K28">
      <formula1>$T$7:$T$8</formula1>
    </dataValidation>
  </dataValidations>
  <pageMargins left="0.25" right="0.25" top="0.75" bottom="0.75" header="0.3" footer="0.3"/>
  <pageSetup paperSize="17" scale="77" fitToHeight="0" orientation="portrait" horizontalDpi="1200" verticalDpi="1200" r:id="rId1"/>
  <headerFooter alignWithMargins="0">
    <oddFooter>&amp;LCopyright Fluid Sealing Association 2014. 
All rights reserved.</oddFooter>
  </headerFooter>
  <rowBreaks count="1" manualBreakCount="1">
    <brk id="109" max="14" man="1"/>
  </rowBreaks>
  <drawing r:id="rId2"/>
  <legacyDrawing r:id="rId3"/>
  <oleObjects>
    <mc:AlternateContent xmlns:mc="http://schemas.openxmlformats.org/markup-compatibility/2006">
      <mc:Choice Requires="x14">
        <oleObject progId="Equation.3" shapeId="1138" r:id="rId4">
          <objectPr defaultSize="0" autoPict="0" r:id="rId5">
            <anchor moveWithCells="1">
              <from>
                <xdr:col>7</xdr:col>
                <xdr:colOff>447675</xdr:colOff>
                <xdr:row>305</xdr:row>
                <xdr:rowOff>152400</xdr:rowOff>
              </from>
              <to>
                <xdr:col>9</xdr:col>
                <xdr:colOff>247650</xdr:colOff>
                <xdr:row>309</xdr:row>
                <xdr:rowOff>66675</xdr:rowOff>
              </to>
            </anchor>
          </objectPr>
        </oleObject>
      </mc:Choice>
      <mc:Fallback>
        <oleObject progId="Equation.3" shapeId="1138"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125"/>
  <sheetViews>
    <sheetView showGridLines="0" showRowColHeaders="0" zoomScale="85" zoomScaleNormal="85" zoomScaleSheetLayoutView="85" workbookViewId="0">
      <selection activeCell="K9" sqref="K9"/>
    </sheetView>
  </sheetViews>
  <sheetFormatPr defaultRowHeight="14.25" x14ac:dyDescent="0.2"/>
  <cols>
    <col min="1" max="1" width="2.7109375" style="43" customWidth="1"/>
    <col min="2" max="2" width="18.28515625" style="43" customWidth="1"/>
    <col min="3" max="3" width="12" style="43" customWidth="1"/>
    <col min="4" max="4" width="11.85546875" style="43" customWidth="1"/>
    <col min="5" max="11" width="12" style="43" customWidth="1"/>
    <col min="12" max="12" width="9.140625" style="43"/>
    <col min="13" max="13" width="5.7109375" style="45" customWidth="1"/>
    <col min="14" max="14" width="9.140625" style="43"/>
    <col min="15" max="16" width="9.140625" style="43" hidden="1" customWidth="1"/>
    <col min="17" max="17" width="2.85546875" style="43" hidden="1" customWidth="1"/>
    <col min="18" max="19" width="9.140625" style="43" hidden="1" customWidth="1"/>
    <col min="20" max="20" width="2.85546875" style="43" hidden="1" customWidth="1"/>
    <col min="21" max="22" width="9.140625" style="43" hidden="1" customWidth="1"/>
    <col min="23" max="23" width="2.85546875" style="43" hidden="1" customWidth="1"/>
    <col min="24" max="16384" width="9.140625" style="43"/>
  </cols>
  <sheetData>
    <row r="1" spans="1:23" x14ac:dyDescent="0.2">
      <c r="O1" s="62" t="s">
        <v>576</v>
      </c>
      <c r="P1" s="62"/>
      <c r="Q1" s="62"/>
      <c r="R1" s="62"/>
      <c r="S1" s="62"/>
      <c r="T1" s="62"/>
      <c r="U1" s="62"/>
      <c r="V1" s="62"/>
      <c r="W1" s="62"/>
    </row>
    <row r="2" spans="1:23" ht="93.75" customHeight="1" x14ac:dyDescent="0.2"/>
    <row r="3" spans="1:23" ht="25.5" x14ac:dyDescent="0.2">
      <c r="A3" s="229" t="s">
        <v>332</v>
      </c>
    </row>
    <row r="4" spans="1:23" ht="17.25" customHeight="1" x14ac:dyDescent="0.2"/>
    <row r="5" spans="1:23" ht="24.75" customHeight="1" x14ac:dyDescent="0.2">
      <c r="A5" s="230" t="s">
        <v>333</v>
      </c>
    </row>
    <row r="6" spans="1:23" ht="3.75" customHeight="1" x14ac:dyDescent="0.2"/>
    <row r="7" spans="1:23" ht="17.25" customHeight="1" x14ac:dyDescent="0.2">
      <c r="B7" s="107" t="s">
        <v>334</v>
      </c>
      <c r="E7" s="43" t="s">
        <v>335</v>
      </c>
      <c r="K7" s="47" t="s">
        <v>372</v>
      </c>
      <c r="L7" s="45"/>
      <c r="M7" s="43"/>
      <c r="O7" s="233" t="s">
        <v>377</v>
      </c>
    </row>
    <row r="8" spans="1:23" ht="3.75" customHeight="1" x14ac:dyDescent="0.2">
      <c r="L8" s="45"/>
      <c r="M8" s="43"/>
    </row>
    <row r="9" spans="1:23" ht="17.25" customHeight="1" x14ac:dyDescent="0.2">
      <c r="B9" s="107" t="s">
        <v>336</v>
      </c>
      <c r="E9" s="43" t="s">
        <v>337</v>
      </c>
      <c r="F9" s="231" t="s">
        <v>583</v>
      </c>
      <c r="K9" s="124">
        <v>0.8</v>
      </c>
      <c r="L9" s="232" t="s">
        <v>256</v>
      </c>
      <c r="M9" s="43"/>
      <c r="O9" s="235">
        <v>0.8</v>
      </c>
      <c r="P9" s="236" t="s">
        <v>256</v>
      </c>
    </row>
    <row r="10" spans="1:23" ht="3.75" customHeight="1" x14ac:dyDescent="0.2">
      <c r="L10" s="232"/>
      <c r="M10" s="43"/>
    </row>
    <row r="11" spans="1:23" ht="17.25" customHeight="1" x14ac:dyDescent="0.2">
      <c r="B11" s="107" t="s">
        <v>338</v>
      </c>
      <c r="E11" s="43" t="s">
        <v>373</v>
      </c>
      <c r="F11" s="231" t="s">
        <v>583</v>
      </c>
      <c r="K11" s="118">
        <v>0.5</v>
      </c>
      <c r="L11" s="232" t="s">
        <v>256</v>
      </c>
      <c r="M11" s="43"/>
    </row>
    <row r="12" spans="1:23" ht="3.75" customHeight="1" x14ac:dyDescent="0.2">
      <c r="L12" s="232"/>
      <c r="M12" s="43"/>
    </row>
    <row r="13" spans="1:23" ht="17.25" customHeight="1" x14ac:dyDescent="0.2">
      <c r="B13" s="107" t="s">
        <v>339</v>
      </c>
      <c r="E13" s="43" t="s">
        <v>374</v>
      </c>
      <c r="F13" s="231" t="s">
        <v>583</v>
      </c>
      <c r="K13" s="234">
        <f>IF(UnitsOfMeasure="Metric",O13,R13)</f>
        <v>30</v>
      </c>
      <c r="L13" s="232" t="str">
        <f>IF(UnitsOfMeasure="Metric","Bar","psi")</f>
        <v>psi</v>
      </c>
      <c r="M13" s="43"/>
      <c r="O13" s="235">
        <v>2</v>
      </c>
      <c r="P13" s="236" t="s">
        <v>375</v>
      </c>
      <c r="R13" s="235">
        <v>30</v>
      </c>
      <c r="S13" s="236" t="s">
        <v>376</v>
      </c>
    </row>
    <row r="14" spans="1:23" ht="3.75" customHeight="1" x14ac:dyDescent="0.2">
      <c r="L14" s="232"/>
      <c r="M14" s="43"/>
    </row>
    <row r="15" spans="1:23" ht="17.25" customHeight="1" x14ac:dyDescent="0.2">
      <c r="B15" s="107" t="s">
        <v>340</v>
      </c>
      <c r="E15" s="43" t="s">
        <v>341</v>
      </c>
      <c r="F15" s="231" t="s">
        <v>583</v>
      </c>
      <c r="K15" s="124">
        <v>0.1</v>
      </c>
      <c r="L15" s="232" t="s">
        <v>256</v>
      </c>
      <c r="M15" s="43"/>
      <c r="O15" s="235">
        <v>0.1</v>
      </c>
      <c r="P15" s="236" t="s">
        <v>256</v>
      </c>
    </row>
    <row r="16" spans="1:23" ht="3.75" customHeight="1" x14ac:dyDescent="0.2">
      <c r="L16" s="232"/>
      <c r="M16" s="43"/>
    </row>
    <row r="17" spans="2:19" ht="17.25" customHeight="1" x14ac:dyDescent="0.2">
      <c r="B17" s="107" t="s">
        <v>342</v>
      </c>
      <c r="E17" s="50" t="s">
        <v>385</v>
      </c>
      <c r="F17" s="231" t="s">
        <v>583</v>
      </c>
      <c r="K17" s="237" t="str">
        <f>IF(UnitsOfMeasure="Metric",TEXT(O17,"0.00"),TEXT(R17,"0.000"))</f>
        <v>0.200</v>
      </c>
      <c r="L17" s="232" t="str">
        <f>IF(UnitsOfMeasure="Metric","mm","inch")</f>
        <v>inch</v>
      </c>
      <c r="M17" s="43"/>
      <c r="O17" s="235">
        <v>5</v>
      </c>
      <c r="P17" s="236" t="s">
        <v>247</v>
      </c>
      <c r="R17" s="235">
        <v>0.2</v>
      </c>
      <c r="S17" s="236" t="s">
        <v>250</v>
      </c>
    </row>
    <row r="18" spans="2:19" ht="3.75" customHeight="1" x14ac:dyDescent="0.2">
      <c r="L18" s="232"/>
      <c r="M18" s="43"/>
    </row>
    <row r="19" spans="2:19" ht="17.25" customHeight="1" x14ac:dyDescent="0.2">
      <c r="B19" s="107" t="s">
        <v>343</v>
      </c>
      <c r="E19" s="43" t="s">
        <v>344</v>
      </c>
      <c r="K19" s="122">
        <v>2.1999999999999999E-2</v>
      </c>
      <c r="L19" s="232" t="s">
        <v>224</v>
      </c>
      <c r="M19" s="43"/>
      <c r="O19" s="359">
        <v>2.1999999999999999E-2</v>
      </c>
      <c r="P19" s="236" t="s">
        <v>224</v>
      </c>
    </row>
    <row r="20" spans="2:19" ht="3.75" customHeight="1" x14ac:dyDescent="0.2">
      <c r="L20" s="232"/>
      <c r="M20" s="43"/>
    </row>
    <row r="21" spans="2:19" ht="17.25" customHeight="1" x14ac:dyDescent="0.2">
      <c r="B21" s="107" t="s">
        <v>379</v>
      </c>
      <c r="E21" s="43" t="s">
        <v>345</v>
      </c>
      <c r="F21" s="238" t="s">
        <v>583</v>
      </c>
      <c r="K21" s="237">
        <f>IF(UnitsOfMeasure="Metric",O21/1000,R21)</f>
        <v>12</v>
      </c>
      <c r="L21" s="232" t="str">
        <f>IF(UnitsOfMeasure="Metric","kW/mm·°K","BTU/hr·in·°F")</f>
        <v>BTU/hr·in·°F</v>
      </c>
      <c r="M21" s="43"/>
      <c r="O21" s="235">
        <v>0.25</v>
      </c>
      <c r="P21" s="236" t="s">
        <v>485</v>
      </c>
      <c r="R21" s="235">
        <v>12</v>
      </c>
      <c r="S21" s="236" t="s">
        <v>378</v>
      </c>
    </row>
    <row r="22" spans="2:19" ht="3.75" customHeight="1" x14ac:dyDescent="0.2">
      <c r="L22" s="45"/>
      <c r="M22" s="43"/>
    </row>
    <row r="23" spans="2:19" ht="17.25" customHeight="1" x14ac:dyDescent="0.2">
      <c r="B23" s="107" t="s">
        <v>346</v>
      </c>
      <c r="E23" s="50" t="str">
        <f>CONCATENATE("Dm = D + ",IF(UnitsOfMeasure="Metric",O23,R23)," ",IF(UnitsOfMeasure="Metric",P23,S23))</f>
        <v>Dm = D + 0.5 inch</v>
      </c>
      <c r="G23" s="43" t="s">
        <v>347</v>
      </c>
      <c r="L23" s="45"/>
      <c r="M23" s="43"/>
      <c r="O23" s="235">
        <v>12</v>
      </c>
      <c r="P23" s="236" t="s">
        <v>247</v>
      </c>
      <c r="R23" s="235">
        <v>0.5</v>
      </c>
      <c r="S23" s="236" t="s">
        <v>250</v>
      </c>
    </row>
    <row r="24" spans="2:19" ht="3.75" customHeight="1" x14ac:dyDescent="0.2">
      <c r="L24" s="45"/>
      <c r="M24" s="43"/>
    </row>
    <row r="25" spans="2:19" ht="17.25" customHeight="1" x14ac:dyDescent="0.2">
      <c r="B25" s="107" t="s">
        <v>348</v>
      </c>
      <c r="E25" s="50" t="s">
        <v>726</v>
      </c>
      <c r="L25" s="45"/>
      <c r="M25" s="43"/>
    </row>
    <row r="26" spans="2:19" ht="3.75" customHeight="1" x14ac:dyDescent="0.2">
      <c r="L26" s="45"/>
      <c r="M26" s="43"/>
    </row>
    <row r="27" spans="2:19" ht="17.25" customHeight="1" x14ac:dyDescent="0.2">
      <c r="B27" s="248" t="s">
        <v>380</v>
      </c>
      <c r="E27" s="50" t="s">
        <v>721</v>
      </c>
      <c r="L27" s="45"/>
      <c r="M27" s="43"/>
    </row>
    <row r="28" spans="2:19" ht="3.75" customHeight="1" x14ac:dyDescent="0.2">
      <c r="L28" s="45"/>
      <c r="M28" s="43"/>
    </row>
    <row r="29" spans="2:19" ht="17.25" customHeight="1" x14ac:dyDescent="0.2">
      <c r="B29" s="107" t="s">
        <v>349</v>
      </c>
      <c r="E29" s="43" t="s">
        <v>350</v>
      </c>
      <c r="L29" s="45"/>
      <c r="M29" s="43"/>
    </row>
    <row r="30" spans="2:19" ht="3.75" customHeight="1" x14ac:dyDescent="0.2">
      <c r="L30" s="45"/>
      <c r="M30" s="43"/>
    </row>
    <row r="31" spans="2:19" ht="17.25" customHeight="1" x14ac:dyDescent="0.2">
      <c r="B31" s="107" t="s">
        <v>351</v>
      </c>
      <c r="E31" s="43" t="s">
        <v>750</v>
      </c>
      <c r="L31" s="45"/>
      <c r="M31" s="43"/>
      <c r="O31" s="235">
        <f>60*1/$K$33</f>
        <v>5</v>
      </c>
      <c r="P31" s="236" t="s">
        <v>638</v>
      </c>
      <c r="R31" s="235">
        <f>O31/'INPUTS-OUTPUTS'!$U$26</f>
        <v>0.30511805017361215</v>
      </c>
      <c r="S31" s="236" t="s">
        <v>639</v>
      </c>
    </row>
    <row r="32" spans="2:19" ht="4.5" customHeight="1" x14ac:dyDescent="0.2">
      <c r="B32" s="107"/>
      <c r="L32" s="45"/>
      <c r="M32" s="43"/>
      <c r="O32" s="335"/>
      <c r="P32" s="236"/>
      <c r="R32" s="335"/>
      <c r="S32" s="236"/>
    </row>
    <row r="33" spans="1:19" ht="17.25" customHeight="1" x14ac:dyDescent="0.2">
      <c r="B33" s="107" t="s">
        <v>748</v>
      </c>
      <c r="E33" s="336" t="s">
        <v>751</v>
      </c>
      <c r="K33" s="125">
        <v>12</v>
      </c>
      <c r="L33" s="45" t="s">
        <v>749</v>
      </c>
      <c r="M33" s="43"/>
      <c r="O33" s="235">
        <v>12</v>
      </c>
      <c r="P33" s="236" t="s">
        <v>749</v>
      </c>
      <c r="R33" s="335"/>
      <c r="S33" s="236"/>
    </row>
    <row r="34" spans="1:19" ht="3.75" customHeight="1" x14ac:dyDescent="0.2">
      <c r="L34" s="45"/>
      <c r="M34" s="43"/>
    </row>
    <row r="35" spans="1:19" ht="17.25" customHeight="1" x14ac:dyDescent="0.2">
      <c r="B35" s="107" t="s">
        <v>352</v>
      </c>
      <c r="E35" s="43" t="s">
        <v>353</v>
      </c>
      <c r="L35" s="45"/>
      <c r="M35" s="43"/>
    </row>
    <row r="36" spans="1:19" ht="3.75" customHeight="1" x14ac:dyDescent="0.2">
      <c r="L36" s="45"/>
      <c r="M36" s="43"/>
    </row>
    <row r="37" spans="1:19" ht="17.25" customHeight="1" x14ac:dyDescent="0.2">
      <c r="B37" s="107" t="s">
        <v>354</v>
      </c>
      <c r="E37" s="139" t="s">
        <v>725</v>
      </c>
      <c r="L37" s="45"/>
      <c r="M37" s="43"/>
    </row>
    <row r="38" spans="1:19" ht="17.25" customHeight="1" x14ac:dyDescent="0.2">
      <c r="L38" s="45"/>
      <c r="M38" s="43"/>
    </row>
    <row r="39" spans="1:19" ht="24.75" customHeight="1" x14ac:dyDescent="0.2">
      <c r="A39" s="249" t="s">
        <v>394</v>
      </c>
      <c r="L39" s="45"/>
      <c r="M39" s="43"/>
    </row>
    <row r="40" spans="1:19" ht="3.75" customHeight="1" x14ac:dyDescent="0.2">
      <c r="L40" s="45"/>
      <c r="M40" s="43"/>
    </row>
    <row r="41" spans="1:19" ht="18" customHeight="1" x14ac:dyDescent="0.2">
      <c r="B41" s="248" t="s">
        <v>395</v>
      </c>
      <c r="E41" s="139" t="s">
        <v>727</v>
      </c>
      <c r="L41" s="45"/>
      <c r="M41" s="43"/>
    </row>
    <row r="42" spans="1:19" ht="18" customHeight="1" x14ac:dyDescent="0.2">
      <c r="E42" s="139" t="s">
        <v>728</v>
      </c>
      <c r="L42" s="45"/>
      <c r="M42" s="43"/>
    </row>
    <row r="43" spans="1:19" ht="18" customHeight="1" x14ac:dyDescent="0.2">
      <c r="E43" s="139" t="s">
        <v>729</v>
      </c>
      <c r="L43" s="45"/>
      <c r="M43" s="43"/>
    </row>
    <row r="44" spans="1:19" ht="18" customHeight="1" x14ac:dyDescent="0.2">
      <c r="E44" s="250" t="s">
        <v>730</v>
      </c>
      <c r="L44" s="45"/>
      <c r="M44" s="43"/>
    </row>
    <row r="45" spans="1:19" ht="3.75" customHeight="1" x14ac:dyDescent="0.2">
      <c r="E45" s="139"/>
      <c r="L45" s="45"/>
      <c r="M45" s="43"/>
    </row>
    <row r="46" spans="1:19" ht="18" customHeight="1" x14ac:dyDescent="0.2">
      <c r="B46" s="107" t="s">
        <v>356</v>
      </c>
      <c r="E46" s="250" t="s">
        <v>730</v>
      </c>
      <c r="L46" s="45"/>
      <c r="M46" s="43"/>
    </row>
    <row r="47" spans="1:19" ht="18" customHeight="1" x14ac:dyDescent="0.2">
      <c r="E47" s="50" t="s">
        <v>381</v>
      </c>
      <c r="L47" s="45"/>
      <c r="M47" s="43"/>
    </row>
    <row r="48" spans="1:19" ht="3.75" customHeight="1" x14ac:dyDescent="0.2">
      <c r="L48" s="45"/>
      <c r="M48" s="43"/>
    </row>
    <row r="49" spans="1:13" ht="18" customHeight="1" x14ac:dyDescent="0.2">
      <c r="B49" s="107" t="s">
        <v>357</v>
      </c>
      <c r="E49" s="250" t="s">
        <v>731</v>
      </c>
      <c r="L49" s="45"/>
      <c r="M49" s="43"/>
    </row>
    <row r="50" spans="1:13" ht="18" customHeight="1" x14ac:dyDescent="0.2">
      <c r="E50" s="50" t="s">
        <v>381</v>
      </c>
      <c r="L50" s="45"/>
      <c r="M50" s="43"/>
    </row>
    <row r="51" spans="1:13" ht="18" customHeight="1" x14ac:dyDescent="0.2">
      <c r="E51" s="43" t="s">
        <v>384</v>
      </c>
      <c r="L51" s="45"/>
      <c r="M51" s="43"/>
    </row>
    <row r="52" spans="1:13" ht="3.75" customHeight="1" x14ac:dyDescent="0.2">
      <c r="L52" s="45"/>
      <c r="M52" s="43"/>
    </row>
    <row r="53" spans="1:13" ht="18" customHeight="1" x14ac:dyDescent="0.2">
      <c r="B53" s="107" t="s">
        <v>358</v>
      </c>
      <c r="E53" s="139" t="s">
        <v>732</v>
      </c>
      <c r="L53" s="45"/>
      <c r="M53" s="43"/>
    </row>
    <row r="54" spans="1:13" ht="18" customHeight="1" x14ac:dyDescent="0.2">
      <c r="E54" s="43" t="s">
        <v>383</v>
      </c>
      <c r="L54" s="45"/>
      <c r="M54" s="43"/>
    </row>
    <row r="55" spans="1:13" ht="18" customHeight="1" x14ac:dyDescent="0.2">
      <c r="E55" s="43" t="s">
        <v>382</v>
      </c>
      <c r="L55" s="45"/>
      <c r="M55" s="43"/>
    </row>
    <row r="56" spans="1:13" ht="3.75" customHeight="1" x14ac:dyDescent="0.2">
      <c r="L56" s="45"/>
      <c r="M56" s="43"/>
    </row>
    <row r="57" spans="1:13" ht="18" customHeight="1" x14ac:dyDescent="0.2">
      <c r="B57" s="107" t="s">
        <v>359</v>
      </c>
      <c r="E57" s="139" t="s">
        <v>386</v>
      </c>
      <c r="L57" s="45"/>
      <c r="M57" s="43"/>
    </row>
    <row r="58" spans="1:13" ht="18" customHeight="1" x14ac:dyDescent="0.2">
      <c r="L58" s="45"/>
      <c r="M58" s="43"/>
    </row>
    <row r="59" spans="1:13" ht="24.75" customHeight="1" x14ac:dyDescent="0.2">
      <c r="A59" s="230" t="s">
        <v>360</v>
      </c>
      <c r="L59" s="45"/>
      <c r="M59" s="43"/>
    </row>
    <row r="60" spans="1:13" ht="3.75" customHeight="1" x14ac:dyDescent="0.2">
      <c r="L60" s="45"/>
      <c r="M60" s="43"/>
    </row>
    <row r="61" spans="1:13" ht="18" customHeight="1" x14ac:dyDescent="0.2">
      <c r="B61" s="107" t="s">
        <v>387</v>
      </c>
      <c r="E61" s="43" t="s">
        <v>388</v>
      </c>
      <c r="L61" s="45"/>
      <c r="M61" s="43"/>
    </row>
    <row r="62" spans="1:13" ht="3.75" customHeight="1" x14ac:dyDescent="0.2">
      <c r="L62" s="45"/>
      <c r="M62" s="43"/>
    </row>
    <row r="63" spans="1:13" ht="18" customHeight="1" x14ac:dyDescent="0.2">
      <c r="B63" s="107" t="s">
        <v>218</v>
      </c>
      <c r="E63" s="43" t="s">
        <v>389</v>
      </c>
      <c r="L63" s="45"/>
      <c r="M63" s="43"/>
    </row>
    <row r="64" spans="1:13" ht="3.75" customHeight="1" x14ac:dyDescent="0.2">
      <c r="B64" s="107"/>
      <c r="L64" s="45"/>
      <c r="M64" s="43"/>
    </row>
    <row r="65" spans="2:19" ht="18" customHeight="1" x14ac:dyDescent="0.2">
      <c r="B65" s="248" t="s">
        <v>720</v>
      </c>
      <c r="E65" s="50" t="s">
        <v>722</v>
      </c>
      <c r="L65" s="45"/>
      <c r="M65" s="43"/>
    </row>
    <row r="66" spans="2:19" ht="3.75" customHeight="1" x14ac:dyDescent="0.2">
      <c r="L66" s="45"/>
      <c r="M66" s="43"/>
    </row>
    <row r="67" spans="2:19" ht="18" customHeight="1" x14ac:dyDescent="0.2">
      <c r="B67" s="107" t="s">
        <v>340</v>
      </c>
      <c r="E67" s="43" t="s">
        <v>724</v>
      </c>
      <c r="F67" s="231" t="s">
        <v>583</v>
      </c>
      <c r="K67" s="125">
        <v>0.17</v>
      </c>
      <c r="L67" s="45" t="s">
        <v>577</v>
      </c>
      <c r="M67" s="43"/>
      <c r="O67" s="235">
        <v>0.17</v>
      </c>
      <c r="P67" s="236" t="s">
        <v>256</v>
      </c>
    </row>
    <row r="68" spans="2:19" ht="3.75" customHeight="1" x14ac:dyDescent="0.2">
      <c r="B68" s="107"/>
      <c r="K68" s="45"/>
      <c r="L68" s="45"/>
      <c r="M68" s="43"/>
    </row>
    <row r="69" spans="2:19" ht="18" customHeight="1" x14ac:dyDescent="0.2">
      <c r="B69" s="107" t="s">
        <v>214</v>
      </c>
      <c r="E69" s="43" t="s">
        <v>390</v>
      </c>
      <c r="K69" s="45"/>
      <c r="L69" s="45"/>
      <c r="M69" s="43"/>
    </row>
    <row r="70" spans="2:19" ht="3.75" customHeight="1" x14ac:dyDescent="0.2">
      <c r="L70" s="45"/>
      <c r="M70" s="43"/>
    </row>
    <row r="71" spans="2:19" ht="18" customHeight="1" x14ac:dyDescent="0.2">
      <c r="B71" s="107" t="s">
        <v>355</v>
      </c>
      <c r="E71" s="139" t="s">
        <v>723</v>
      </c>
      <c r="L71" s="45"/>
      <c r="M71" s="43"/>
    </row>
    <row r="72" spans="2:19" ht="3.75" customHeight="1" x14ac:dyDescent="0.2">
      <c r="B72" s="107"/>
      <c r="E72" s="139"/>
      <c r="L72" s="45"/>
      <c r="M72" s="43"/>
    </row>
    <row r="73" spans="2:19" ht="18" customHeight="1" x14ac:dyDescent="0.2">
      <c r="B73" s="107"/>
      <c r="E73" s="139" t="s">
        <v>734</v>
      </c>
      <c r="L73" s="45"/>
      <c r="M73" s="43"/>
    </row>
    <row r="74" spans="2:19" ht="3.75" customHeight="1" x14ac:dyDescent="0.2">
      <c r="L74" s="45"/>
      <c r="M74" s="43"/>
    </row>
    <row r="75" spans="2:19" ht="15.75" customHeight="1" x14ac:dyDescent="0.2">
      <c r="B75" s="107" t="s">
        <v>445</v>
      </c>
      <c r="E75" s="139" t="s">
        <v>733</v>
      </c>
      <c r="L75" s="45"/>
      <c r="M75" s="43"/>
    </row>
    <row r="76" spans="2:19" ht="3.75" customHeight="1" x14ac:dyDescent="0.2">
      <c r="L76" s="45"/>
      <c r="M76" s="43"/>
    </row>
    <row r="77" spans="2:19" ht="18" customHeight="1" x14ac:dyDescent="0.2">
      <c r="B77" s="107" t="s">
        <v>361</v>
      </c>
      <c r="E77" s="250" t="s">
        <v>392</v>
      </c>
      <c r="K77" s="239"/>
      <c r="L77" s="45"/>
      <c r="M77" s="43"/>
      <c r="O77" s="235">
        <f>60*(16/(2*25.4))/$K$33</f>
        <v>1.5748031496062991</v>
      </c>
      <c r="P77" s="236" t="s">
        <v>391</v>
      </c>
      <c r="R77" s="235">
        <f>O77*25.4/'INPUTS-OUTPUTS'!$U$26</f>
        <v>2.4409444013888968</v>
      </c>
      <c r="S77" s="236" t="s">
        <v>393</v>
      </c>
    </row>
    <row r="78" spans="2:19" ht="18" customHeight="1" x14ac:dyDescent="0.2">
      <c r="E78" s="250" t="str">
        <f>CONCATENATE("= ",TEXT(R77,"0.00")," in³ / hour / inch sleeve diameter")</f>
        <v>= 2.44 in³ / hour / inch sleeve diameter</v>
      </c>
      <c r="K78" s="239"/>
      <c r="L78" s="45"/>
      <c r="M78" s="43"/>
    </row>
    <row r="79" spans="2:19" ht="18" customHeight="1" x14ac:dyDescent="0.2">
      <c r="E79" s="250" t="str">
        <f>CONCATENATE("= ",TEXT(O77,"0.000")," ml / hour / mm sleeve diameter")</f>
        <v>= 1.575 ml / hour / mm sleeve diameter</v>
      </c>
      <c r="L79" s="45"/>
      <c r="M79" s="43"/>
    </row>
    <row r="80" spans="2:19" ht="18" customHeight="1" x14ac:dyDescent="0.2">
      <c r="L80" s="45"/>
      <c r="M80" s="43"/>
    </row>
    <row r="81" spans="1:18" ht="24.75" hidden="1" customHeight="1" x14ac:dyDescent="0.2">
      <c r="A81" s="230" t="s">
        <v>362</v>
      </c>
      <c r="J81" s="62" t="s">
        <v>404</v>
      </c>
      <c r="L81" s="45"/>
      <c r="M81" s="43"/>
    </row>
    <row r="82" spans="1:18" ht="3.75" hidden="1" customHeight="1" x14ac:dyDescent="0.2">
      <c r="J82" s="62"/>
      <c r="L82" s="45"/>
      <c r="M82" s="43"/>
    </row>
    <row r="83" spans="1:18" ht="18" hidden="1" customHeight="1" x14ac:dyDescent="0.2">
      <c r="B83" s="43" t="s">
        <v>363</v>
      </c>
      <c r="E83" s="43" t="s">
        <v>364</v>
      </c>
      <c r="J83" s="62"/>
      <c r="L83" s="45"/>
      <c r="M83" s="43"/>
    </row>
    <row r="84" spans="1:18" ht="3.75" hidden="1" customHeight="1" x14ac:dyDescent="0.2">
      <c r="J84" s="62"/>
      <c r="L84" s="45"/>
      <c r="M84" s="43"/>
    </row>
    <row r="85" spans="1:18" ht="18" hidden="1" customHeight="1" x14ac:dyDescent="0.2">
      <c r="B85" s="43" t="s">
        <v>365</v>
      </c>
      <c r="E85" s="43" t="s">
        <v>400</v>
      </c>
      <c r="J85" s="62"/>
      <c r="L85" s="45"/>
      <c r="M85" s="43"/>
    </row>
    <row r="86" spans="1:18" ht="3.75" hidden="1" customHeight="1" x14ac:dyDescent="0.2">
      <c r="J86" s="62"/>
      <c r="L86" s="45"/>
      <c r="M86" s="43"/>
    </row>
    <row r="87" spans="1:18" ht="18" hidden="1" customHeight="1" x14ac:dyDescent="0.2">
      <c r="B87" s="43" t="s">
        <v>366</v>
      </c>
      <c r="E87" s="240" t="s">
        <v>401</v>
      </c>
      <c r="J87" s="62"/>
      <c r="L87" s="45"/>
      <c r="M87" s="43"/>
    </row>
    <row r="88" spans="1:18" ht="3.75" hidden="1" customHeight="1" x14ac:dyDescent="0.2">
      <c r="J88" s="62"/>
      <c r="L88" s="45"/>
      <c r="M88" s="43"/>
    </row>
    <row r="89" spans="1:18" ht="18" hidden="1" customHeight="1" x14ac:dyDescent="0.2">
      <c r="B89" s="43" t="s">
        <v>367</v>
      </c>
      <c r="J89" s="62"/>
      <c r="L89" s="45"/>
      <c r="M89" s="43"/>
    </row>
    <row r="90" spans="1:18" ht="18" hidden="1" customHeight="1" x14ac:dyDescent="0.2">
      <c r="B90" s="241" t="s">
        <v>368</v>
      </c>
      <c r="E90" s="139" t="s">
        <v>396</v>
      </c>
      <c r="J90" s="62"/>
      <c r="L90" s="45"/>
      <c r="M90" s="43"/>
    </row>
    <row r="91" spans="1:18" ht="18" hidden="1" customHeight="1" x14ac:dyDescent="0.2">
      <c r="B91" s="241" t="s">
        <v>369</v>
      </c>
      <c r="E91" s="139" t="s">
        <v>397</v>
      </c>
      <c r="J91" s="62"/>
      <c r="L91" s="45"/>
      <c r="M91" s="43"/>
    </row>
    <row r="92" spans="1:18" ht="18" hidden="1" customHeight="1" x14ac:dyDescent="0.2">
      <c r="B92" s="241" t="s">
        <v>370</v>
      </c>
      <c r="E92" s="139" t="s">
        <v>398</v>
      </c>
      <c r="J92" s="62"/>
      <c r="L92" s="45"/>
      <c r="M92" s="43"/>
    </row>
    <row r="93" spans="1:18" ht="18" hidden="1" customHeight="1" x14ac:dyDescent="0.2">
      <c r="B93" s="241" t="s">
        <v>371</v>
      </c>
      <c r="E93" s="139" t="s">
        <v>399</v>
      </c>
      <c r="J93" s="62"/>
      <c r="L93" s="45"/>
      <c r="M93" s="43"/>
    </row>
    <row r="94" spans="1:18" ht="3.75" hidden="1" customHeight="1" x14ac:dyDescent="0.2">
      <c r="J94" s="62"/>
      <c r="L94" s="45"/>
      <c r="M94" s="43"/>
    </row>
    <row r="95" spans="1:18" ht="18" hidden="1" customHeight="1" x14ac:dyDescent="0.2">
      <c r="B95" s="43" t="s">
        <v>403</v>
      </c>
      <c r="E95" s="43" t="s">
        <v>402</v>
      </c>
      <c r="J95" s="62"/>
      <c r="K95" s="237">
        <f>IF(UnitsOfMeasure="Metric",O95,R95)</f>
        <v>1715</v>
      </c>
      <c r="L95" s="45"/>
      <c r="M95" s="43"/>
      <c r="O95" s="235">
        <v>444</v>
      </c>
      <c r="P95" s="236"/>
      <c r="R95" s="235">
        <v>1715</v>
      </c>
    </row>
    <row r="96" spans="1:18" ht="17.25" hidden="1" customHeight="1" x14ac:dyDescent="0.2">
      <c r="J96" s="62"/>
    </row>
    <row r="97" spans="1:11" ht="24.75" customHeight="1" x14ac:dyDescent="0.2">
      <c r="A97" s="230" t="s">
        <v>405</v>
      </c>
    </row>
    <row r="98" spans="1:11" ht="3.75" customHeight="1" x14ac:dyDescent="0.2">
      <c r="A98" s="230"/>
    </row>
    <row r="99" spans="1:11" ht="18" customHeight="1" x14ac:dyDescent="0.2">
      <c r="C99" s="391" t="s">
        <v>406</v>
      </c>
      <c r="D99" s="391"/>
      <c r="E99" s="242"/>
      <c r="F99" s="391" t="s">
        <v>407</v>
      </c>
      <c r="G99" s="391"/>
      <c r="H99" s="391" t="s">
        <v>408</v>
      </c>
      <c r="I99" s="391"/>
      <c r="J99" s="391" t="s">
        <v>409</v>
      </c>
      <c r="K99" s="391"/>
    </row>
    <row r="100" spans="1:11" ht="18" customHeight="1" x14ac:dyDescent="0.2">
      <c r="B100" s="242" t="s">
        <v>410</v>
      </c>
      <c r="C100" s="242" t="s">
        <v>427</v>
      </c>
      <c r="D100" s="242" t="s">
        <v>428</v>
      </c>
      <c r="E100" s="242" t="s">
        <v>411</v>
      </c>
      <c r="F100" s="242" t="s">
        <v>412</v>
      </c>
      <c r="G100" s="242" t="s">
        <v>429</v>
      </c>
      <c r="H100" s="242" t="s">
        <v>413</v>
      </c>
      <c r="I100" s="242" t="s">
        <v>414</v>
      </c>
      <c r="J100" s="242" t="s">
        <v>204</v>
      </c>
      <c r="K100" s="242" t="s">
        <v>249</v>
      </c>
    </row>
    <row r="101" spans="1:11" ht="18" customHeight="1" x14ac:dyDescent="0.2">
      <c r="B101" s="43" t="s">
        <v>221</v>
      </c>
      <c r="C101" s="243">
        <v>1</v>
      </c>
      <c r="D101" s="244">
        <f>C101*4.1868</f>
        <v>4.1867999999999999</v>
      </c>
      <c r="E101" s="243">
        <v>1</v>
      </c>
      <c r="F101" s="243">
        <f>G101*2.20462*3.78541</f>
        <v>8.3453905941999995</v>
      </c>
      <c r="G101" s="243">
        <f>E101</f>
        <v>1</v>
      </c>
      <c r="H101" s="243">
        <f>I101*0.429923</f>
        <v>970.33621100000005</v>
      </c>
      <c r="I101" s="245">
        <v>2257</v>
      </c>
      <c r="J101" s="246">
        <v>212</v>
      </c>
      <c r="K101" s="246">
        <v>100</v>
      </c>
    </row>
    <row r="102" spans="1:11" ht="18" customHeight="1" x14ac:dyDescent="0.2">
      <c r="B102" s="43" t="s">
        <v>415</v>
      </c>
      <c r="C102" s="243">
        <v>0.75</v>
      </c>
      <c r="D102" s="244">
        <f t="shared" ref="D102:D109" si="0">C102*4.1868</f>
        <v>3.1400999999999999</v>
      </c>
      <c r="E102" s="243">
        <v>1.06</v>
      </c>
      <c r="F102" s="243">
        <f>G102*2.20462*3.78541</f>
        <v>8.846114029852</v>
      </c>
      <c r="G102" s="243">
        <f t="shared" ref="G102:G109" si="1">E102</f>
        <v>1.06</v>
      </c>
      <c r="H102" s="243">
        <f>I102*0.429923</f>
        <v>657.13730550000002</v>
      </c>
      <c r="I102" s="245">
        <v>1528.5</v>
      </c>
      <c r="J102" s="246">
        <v>225</v>
      </c>
      <c r="K102" s="246">
        <v>107</v>
      </c>
    </row>
    <row r="103" spans="1:11" ht="18" customHeight="1" x14ac:dyDescent="0.2">
      <c r="B103" s="43" t="s">
        <v>416</v>
      </c>
      <c r="C103" s="243">
        <v>0.6</v>
      </c>
      <c r="D103" s="244">
        <f t="shared" si="0"/>
        <v>2.5120799999999996</v>
      </c>
      <c r="E103" s="243">
        <v>0.79</v>
      </c>
      <c r="F103" s="243">
        <f>G103*2.20462*3.78541</f>
        <v>6.5928585694180004</v>
      </c>
      <c r="G103" s="243">
        <f t="shared" si="1"/>
        <v>0.79</v>
      </c>
      <c r="H103" s="243">
        <f>I103*0.429923</f>
        <v>107.910673</v>
      </c>
      <c r="I103" s="245">
        <v>251</v>
      </c>
      <c r="J103" s="246">
        <v>572</v>
      </c>
      <c r="K103" s="246">
        <v>300</v>
      </c>
    </row>
    <row r="104" spans="1:11" ht="18" customHeight="1" x14ac:dyDescent="0.2">
      <c r="B104" s="43" t="s">
        <v>417</v>
      </c>
      <c r="C104" s="243">
        <v>0.6</v>
      </c>
      <c r="D104" s="244">
        <f t="shared" si="0"/>
        <v>2.5120799999999996</v>
      </c>
      <c r="E104" s="243">
        <v>0.97</v>
      </c>
      <c r="F104" s="243">
        <f>G104*2.20462*3.78541</f>
        <v>8.0950288763740001</v>
      </c>
      <c r="G104" s="243">
        <f t="shared" si="1"/>
        <v>0.97</v>
      </c>
      <c r="H104" s="243">
        <f>I104*0.429923</f>
        <v>92.003522000000004</v>
      </c>
      <c r="I104" s="245">
        <v>214</v>
      </c>
      <c r="J104" s="246">
        <v>599</v>
      </c>
      <c r="K104" s="246">
        <v>315</v>
      </c>
    </row>
    <row r="105" spans="1:11" ht="18" customHeight="1" x14ac:dyDescent="0.2">
      <c r="B105" s="43" t="s">
        <v>418</v>
      </c>
      <c r="C105" s="243">
        <v>0.42</v>
      </c>
      <c r="D105" s="244">
        <f t="shared" si="0"/>
        <v>1.7584559999999998</v>
      </c>
      <c r="E105" s="243">
        <v>1.06</v>
      </c>
      <c r="F105" s="243">
        <f>G105*2.20462*3.78541</f>
        <v>8.846114029852</v>
      </c>
      <c r="G105" s="243">
        <f t="shared" si="1"/>
        <v>1.06</v>
      </c>
      <c r="H105" s="243">
        <f>I105*0.429923</f>
        <v>42.218438599999999</v>
      </c>
      <c r="I105" s="245">
        <v>98.2</v>
      </c>
      <c r="J105" s="246">
        <v>494.8</v>
      </c>
      <c r="K105" s="246">
        <v>257.10000000000002</v>
      </c>
    </row>
    <row r="106" spans="1:11" ht="18" customHeight="1" x14ac:dyDescent="0.2">
      <c r="B106" s="132" t="s">
        <v>419</v>
      </c>
      <c r="C106" s="133">
        <v>0.4</v>
      </c>
      <c r="D106" s="134">
        <v>1.675</v>
      </c>
      <c r="E106" s="133">
        <v>0.8</v>
      </c>
      <c r="F106" s="133">
        <v>6.68</v>
      </c>
      <c r="G106" s="133">
        <v>0.8</v>
      </c>
      <c r="H106" s="133">
        <v>107.91</v>
      </c>
      <c r="I106" s="135">
        <v>251</v>
      </c>
      <c r="J106" s="136">
        <v>572</v>
      </c>
      <c r="K106" s="136">
        <v>300</v>
      </c>
    </row>
    <row r="107" spans="1:11" ht="18" customHeight="1" x14ac:dyDescent="0.2">
      <c r="B107" s="43" t="s">
        <v>420</v>
      </c>
      <c r="C107" s="243">
        <v>0.6</v>
      </c>
      <c r="D107" s="244">
        <f t="shared" si="0"/>
        <v>2.5120799999999996</v>
      </c>
      <c r="E107" s="243">
        <v>0.86</v>
      </c>
      <c r="F107" s="243">
        <f>G107*2.20462*3.78541</f>
        <v>7.1770359110119992</v>
      </c>
      <c r="G107" s="243">
        <f t="shared" si="1"/>
        <v>0.86</v>
      </c>
      <c r="H107" s="47"/>
      <c r="I107" s="47"/>
      <c r="J107" s="47"/>
      <c r="K107" s="47"/>
    </row>
    <row r="108" spans="1:11" ht="18" customHeight="1" x14ac:dyDescent="0.2">
      <c r="B108" s="43" t="s">
        <v>421</v>
      </c>
      <c r="C108" s="243">
        <v>0.48899999999999999</v>
      </c>
      <c r="D108" s="244">
        <f t="shared" si="0"/>
        <v>2.0473452000000001</v>
      </c>
      <c r="E108" s="243">
        <v>0.86</v>
      </c>
      <c r="F108" s="243">
        <f>G108*2.20462*3.78541</f>
        <v>7.1770359110119992</v>
      </c>
      <c r="G108" s="243">
        <f t="shared" si="1"/>
        <v>0.86</v>
      </c>
      <c r="H108" s="47"/>
      <c r="I108" s="47"/>
      <c r="J108" s="47"/>
      <c r="K108" s="47"/>
    </row>
    <row r="109" spans="1:11" ht="18" customHeight="1" x14ac:dyDescent="0.2">
      <c r="B109" s="43" t="s">
        <v>422</v>
      </c>
      <c r="C109" s="243">
        <v>0.6</v>
      </c>
      <c r="D109" s="244">
        <f t="shared" si="0"/>
        <v>2.5120799999999996</v>
      </c>
      <c r="E109" s="243">
        <v>0.93</v>
      </c>
      <c r="F109" s="243">
        <f>G109*2.20462*3.78541</f>
        <v>7.7612132526059998</v>
      </c>
      <c r="G109" s="243">
        <f t="shared" si="1"/>
        <v>0.93</v>
      </c>
      <c r="H109" s="47"/>
      <c r="I109" s="47"/>
      <c r="J109" s="47"/>
      <c r="K109" s="47"/>
    </row>
    <row r="110" spans="1:11" ht="18" customHeight="1" x14ac:dyDescent="0.2"/>
    <row r="111" spans="1:11" ht="18" customHeight="1" x14ac:dyDescent="0.2"/>
    <row r="112" spans="1:11" ht="18" customHeight="1" x14ac:dyDescent="0.2">
      <c r="A112" s="230" t="s">
        <v>423</v>
      </c>
    </row>
    <row r="113" spans="1:19" ht="18" customHeight="1" x14ac:dyDescent="0.2">
      <c r="B113" s="58" t="s">
        <v>424</v>
      </c>
      <c r="C113" s="43" t="s">
        <v>425</v>
      </c>
    </row>
    <row r="114" spans="1:19" ht="18" customHeight="1" x14ac:dyDescent="0.2">
      <c r="B114" s="247" t="s">
        <v>426</v>
      </c>
      <c r="C114" s="137">
        <v>0.75149999999999995</v>
      </c>
    </row>
    <row r="115" spans="1:19" ht="18" customHeight="1" x14ac:dyDescent="0.2"/>
    <row r="116" spans="1:19" ht="18" customHeight="1" x14ac:dyDescent="0.2"/>
    <row r="117" spans="1:19" ht="17.25" customHeight="1" x14ac:dyDescent="0.2">
      <c r="A117" s="230" t="s">
        <v>510</v>
      </c>
    </row>
    <row r="118" spans="1:19" ht="17.25" customHeight="1" x14ac:dyDescent="0.2"/>
    <row r="119" spans="1:19" ht="17.25" customHeight="1" x14ac:dyDescent="0.2">
      <c r="B119" s="138">
        <f>IF(UnitsOfMeasure="Metric",R119,O119)</f>
        <v>1.2222900000000001</v>
      </c>
      <c r="C119" s="45" t="str">
        <f>CONCATENATE("  ",IF(UnitsOfMeasure="Metric","kg","lbs.")," of carbon dioxide equivalent emission per kWh")</f>
        <v xml:space="preserve">  lbs. of carbon dioxide equivalent emission per kWh</v>
      </c>
      <c r="O119" s="235">
        <v>1.2222900000000001</v>
      </c>
      <c r="P119" s="236" t="s">
        <v>498</v>
      </c>
      <c r="R119" s="235">
        <f>ROUND(O119/2.20462,5)</f>
        <v>0.55442000000000002</v>
      </c>
      <c r="S119" s="236" t="s">
        <v>499</v>
      </c>
    </row>
    <row r="120" spans="1:19" ht="17.25" customHeight="1" x14ac:dyDescent="0.2">
      <c r="O120" s="236" t="s">
        <v>500</v>
      </c>
    </row>
    <row r="121" spans="1:19" ht="17.25" customHeight="1" x14ac:dyDescent="0.2">
      <c r="O121" s="236" t="s">
        <v>501</v>
      </c>
    </row>
    <row r="122" spans="1:19" ht="17.25" customHeight="1" x14ac:dyDescent="0.2">
      <c r="O122" s="236" t="s">
        <v>502</v>
      </c>
    </row>
    <row r="123" spans="1:19" ht="17.25" customHeight="1" x14ac:dyDescent="0.2">
      <c r="O123" s="236" t="s">
        <v>511</v>
      </c>
    </row>
    <row r="124" spans="1:19" ht="17.25" customHeight="1" x14ac:dyDescent="0.2">
      <c r="O124" s="236" t="s">
        <v>512</v>
      </c>
    </row>
    <row r="125" spans="1:19" ht="17.25" customHeight="1" x14ac:dyDescent="0.2">
      <c r="O125" s="236" t="s">
        <v>513</v>
      </c>
    </row>
  </sheetData>
  <sheetProtection password="EFB4" sheet="1" objects="1" scenarios="1" selectLockedCells="1"/>
  <mergeCells count="4">
    <mergeCell ref="C99:D99"/>
    <mergeCell ref="F99:G99"/>
    <mergeCell ref="H99:I99"/>
    <mergeCell ref="J99:K99"/>
  </mergeCells>
  <phoneticPr fontId="0" type="noConversion"/>
  <conditionalFormatting sqref="C101:C109">
    <cfRule type="expression" dxfId="13" priority="13" stopIfTrue="1">
      <formula>(UnitsOfMeasure="Metric")</formula>
    </cfRule>
  </conditionalFormatting>
  <conditionalFormatting sqref="D101:D109 G101:G106 I101:I106">
    <cfRule type="expression" dxfId="12" priority="12" stopIfTrue="1">
      <formula>(UnitsOfMeasure="Imperial")</formula>
    </cfRule>
  </conditionalFormatting>
  <conditionalFormatting sqref="F101:F109 H101:H106 J101:J106">
    <cfRule type="expression" dxfId="11" priority="11" stopIfTrue="1">
      <formula>(UnitsOfMeasure="Metric")</formula>
    </cfRule>
  </conditionalFormatting>
  <conditionalFormatting sqref="G107:G109 K101:K106">
    <cfRule type="expression" dxfId="10" priority="10" stopIfTrue="1">
      <formula>(UnitsOfMeasure="Imperial")</formula>
    </cfRule>
  </conditionalFormatting>
  <conditionalFormatting sqref="C100 F100 H100 J100">
    <cfRule type="expression" dxfId="9" priority="9" stopIfTrue="1">
      <formula>(UnitsOfMeasure="Metric")</formula>
    </cfRule>
  </conditionalFormatting>
  <conditionalFormatting sqref="D100 G100 K100">
    <cfRule type="expression" dxfId="8" priority="8" stopIfTrue="1">
      <formula>(UnitsOfMeasure="Imperial")</formula>
    </cfRule>
  </conditionalFormatting>
  <conditionalFormatting sqref="I100">
    <cfRule type="expression" dxfId="7" priority="7" stopIfTrue="1">
      <formula>(UnitsOfMeasure="Imperial")</formula>
    </cfRule>
  </conditionalFormatting>
  <conditionalFormatting sqref="K15">
    <cfRule type="expression" dxfId="6" priority="5">
      <formula>(K15&lt;&gt;O15)</formula>
    </cfRule>
  </conditionalFormatting>
  <conditionalFormatting sqref="K9">
    <cfRule type="expression" dxfId="5" priority="4">
      <formula>(K9&lt;&gt;O9)</formula>
    </cfRule>
  </conditionalFormatting>
  <conditionalFormatting sqref="K19">
    <cfRule type="expression" dxfId="4" priority="3">
      <formula>(K19&lt;&gt;O19)</formula>
    </cfRule>
  </conditionalFormatting>
  <conditionalFormatting sqref="K33">
    <cfRule type="expression" dxfId="3" priority="2">
      <formula>(K33&lt;&gt;O33)</formula>
    </cfRule>
  </conditionalFormatting>
  <conditionalFormatting sqref="K67">
    <cfRule type="expression" dxfId="2" priority="1">
      <formula>(K67&lt;&gt;O67)</formula>
    </cfRule>
  </conditionalFormatting>
  <pageMargins left="0.7" right="0.5" top="0.75" bottom="0.75" header="0.3" footer="0.3"/>
  <pageSetup scale="65" fitToHeight="0" orientation="portrait" horizontalDpi="1200" verticalDpi="1200" r:id="rId1"/>
  <headerFooter>
    <oddFooter>&amp;LCopyright Fluid Sealing Association 2014. 
All rights reserved.</oddFooter>
  </headerFooter>
  <rowBreaks count="1" manualBreakCount="1">
    <brk id="96" max="12"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O48"/>
  <sheetViews>
    <sheetView showGridLines="0" showRowColHeaders="0" zoomScale="85" zoomScaleNormal="85" zoomScaleSheetLayoutView="85" workbookViewId="0">
      <selection activeCell="E25" sqref="E25"/>
    </sheetView>
  </sheetViews>
  <sheetFormatPr defaultRowHeight="12.75" x14ac:dyDescent="0.2"/>
  <cols>
    <col min="1" max="1" width="11.42578125" customWidth="1"/>
    <col min="2" max="3" width="4.140625" customWidth="1"/>
    <col min="4" max="4" width="62.85546875" customWidth="1"/>
    <col min="5" max="5" width="57" customWidth="1"/>
    <col min="7" max="11" width="9.140625" customWidth="1"/>
    <col min="13" max="13" width="18.7109375" hidden="1" customWidth="1"/>
    <col min="14" max="15" width="9.140625" hidden="1" customWidth="1"/>
  </cols>
  <sheetData>
    <row r="1" spans="2:15" ht="14.25" x14ac:dyDescent="0.2">
      <c r="M1" s="62" t="s">
        <v>637</v>
      </c>
      <c r="N1" s="62"/>
      <c r="O1" s="62"/>
    </row>
    <row r="2" spans="2:15" ht="93.75" customHeight="1" thickBot="1" x14ac:dyDescent="0.25">
      <c r="G2" s="40" t="s">
        <v>745</v>
      </c>
      <c r="H2" s="40"/>
      <c r="M2" s="271"/>
      <c r="N2" s="271"/>
      <c r="O2" s="271"/>
    </row>
    <row r="3" spans="2:15" ht="26.25" thickBot="1" x14ac:dyDescent="0.4">
      <c r="B3" s="28" t="s">
        <v>579</v>
      </c>
      <c r="C3" s="28"/>
      <c r="G3" s="289"/>
      <c r="H3" s="290"/>
      <c r="I3" s="42" t="str">
        <f>'INPUTS-OUTPUTS'!K26</f>
        <v>Current Scenario</v>
      </c>
      <c r="J3" s="42" t="str">
        <f>'INPUTS-OUTPUTS'!M26</f>
        <v>Scenario 1</v>
      </c>
      <c r="K3" s="42" t="str">
        <f>'INPUTS-OUTPUTS'!O26</f>
        <v>Scenario 2</v>
      </c>
      <c r="M3" s="279" t="s">
        <v>706</v>
      </c>
      <c r="N3" s="278" t="s">
        <v>157</v>
      </c>
      <c r="O3" s="271"/>
    </row>
    <row r="4" spans="2:15" ht="12.75" customHeight="1" x14ac:dyDescent="0.2">
      <c r="G4" s="291" t="str">
        <f>'INPUTS-OUTPUTS'!G317</f>
        <v>Direct Power Consumption</v>
      </c>
      <c r="H4" s="292"/>
      <c r="I4" s="41">
        <f>'INPUTS-OUTPUTS'!K317</f>
        <v>0.14818843000969298</v>
      </c>
      <c r="J4" s="41">
        <f>'INPUTS-OUTPUTS'!M317</f>
        <v>0.14818843000969298</v>
      </c>
      <c r="K4" s="41">
        <f>'INPUTS-OUTPUTS'!O317</f>
        <v>1.4816302047093957</v>
      </c>
    </row>
    <row r="5" spans="2:15" x14ac:dyDescent="0.2">
      <c r="G5" s="291" t="str">
        <f>'INPUTS-OUTPUTS'!G319</f>
        <v>Heat Soak</v>
      </c>
      <c r="H5" s="292"/>
      <c r="I5" s="41">
        <f>'INPUTS-OUTPUTS'!K319</f>
        <v>3.0138293787157422</v>
      </c>
      <c r="J5" s="41">
        <f>'INPUTS-OUTPUTS'!M319</f>
        <v>7.5560702696594131</v>
      </c>
      <c r="K5" s="41">
        <f>'INPUTS-OUTPUTS'!O319</f>
        <v>0</v>
      </c>
    </row>
    <row r="6" spans="2:15" ht="19.5" x14ac:dyDescent="0.25">
      <c r="C6" s="38" t="str">
        <f>'INPUTS-OUTPUTS'!K26</f>
        <v>Current Scenario</v>
      </c>
      <c r="G6" s="291" t="str">
        <f>'INPUTS-OUTPUTS'!G329</f>
        <v>Flush Cooling</v>
      </c>
      <c r="H6" s="292"/>
      <c r="I6" s="41">
        <f>'INPUTS-OUTPUTS'!K329</f>
        <v>3.1620178087254351</v>
      </c>
      <c r="J6" s="41">
        <f>'INPUTS-OUTPUTS'!M329</f>
        <v>0</v>
      </c>
      <c r="K6" s="41">
        <f>'INPUTS-OUTPUTS'!O329</f>
        <v>0</v>
      </c>
    </row>
    <row r="7" spans="2:15" ht="19.5" x14ac:dyDescent="0.25">
      <c r="C7" s="38" t="str">
        <f>'INPUTS-OUTPUTS'!K30</f>
        <v>Sgl/23</v>
      </c>
      <c r="G7" s="291" t="str">
        <f>'INPUTS-OUTPUTS'!G339</f>
        <v>Diluent Removal</v>
      </c>
      <c r="H7" s="292"/>
      <c r="I7" s="41">
        <f>'INPUTS-OUTPUTS'!K339</f>
        <v>0</v>
      </c>
      <c r="J7" s="41">
        <f>'INPUTS-OUTPUTS'!M339</f>
        <v>0</v>
      </c>
      <c r="K7" s="41">
        <f>'INPUTS-OUTPUTS'!O339</f>
        <v>0</v>
      </c>
    </row>
    <row r="8" spans="2:15" ht="19.5" x14ac:dyDescent="0.25">
      <c r="C8" s="39" t="str">
        <f>CONCATENATE("Total Power Consumption: ",ROUND('INPUTS-OUTPUTS'!K347,3)," kW")</f>
        <v>Total Power Consumption: 6.324 kW</v>
      </c>
      <c r="G8" s="291" t="str">
        <f>'INPUTS-OUTPUTS'!G345</f>
        <v>Miscellaneous</v>
      </c>
      <c r="H8" s="292"/>
      <c r="I8" s="41">
        <f>'INPUTS-OUTPUTS'!K345</f>
        <v>0</v>
      </c>
      <c r="J8" s="41">
        <f>'INPUTS-OUTPUTS'!M345</f>
        <v>0</v>
      </c>
      <c r="K8" s="41">
        <f>'INPUTS-OUTPUTS'!O345</f>
        <v>0</v>
      </c>
    </row>
    <row r="26" spans="3:3" ht="19.5" x14ac:dyDescent="0.25">
      <c r="C26" s="38" t="str">
        <f>'INPUTS-OUTPUTS'!M26</f>
        <v>Scenario 1</v>
      </c>
    </row>
    <row r="27" spans="3:3" ht="19.5" x14ac:dyDescent="0.25">
      <c r="C27" s="38" t="str">
        <f>'INPUTS-OUTPUTS'!M30</f>
        <v>Sgl/32</v>
      </c>
    </row>
    <row r="28" spans="3:3" ht="19.5" x14ac:dyDescent="0.25">
      <c r="C28" s="39" t="str">
        <f>CONCATENATE("Total Power Consumption: ",ROUND('INPUTS-OUTPUTS'!M347,3)," kW")</f>
        <v>Total Power Consumption: 7.704 kW</v>
      </c>
    </row>
    <row r="46" spans="3:3" ht="19.5" x14ac:dyDescent="0.25">
      <c r="C46" s="38" t="str">
        <f>'INPUTS-OUTPUTS'!O26</f>
        <v>Scenario 2</v>
      </c>
    </row>
    <row r="47" spans="3:3" ht="19.5" x14ac:dyDescent="0.25">
      <c r="C47" s="38" t="str">
        <f>'INPUTS-OUTPUTS'!O30</f>
        <v>Packing</v>
      </c>
    </row>
    <row r="48" spans="3:3" ht="19.5" x14ac:dyDescent="0.25">
      <c r="C48" s="39" t="str">
        <f>CONCATENATE("Total Power Consumption: ",ROUND('INPUTS-OUTPUTS'!O347,3)," kW")</f>
        <v>Total Power Consumption: 1.482 kW</v>
      </c>
    </row>
  </sheetData>
  <sheetProtection password="EFB4" sheet="1" selectLockedCells="1" selectUnlockedCells="1"/>
  <phoneticPr fontId="0" type="noConversion"/>
  <conditionalFormatting sqref="G2:K8">
    <cfRule type="expression" dxfId="1" priority="1" stopIfTrue="1">
      <formula>($N$3="No")</formula>
    </cfRule>
  </conditionalFormatting>
  <pageMargins left="0.7" right="0.7" top="0.75" bottom="0.75" header="0.3" footer="0.3"/>
  <pageSetup scale="65" fitToHeight="0" orientation="portrait" horizontalDpi="1200" verticalDpi="1200" r:id="rId1"/>
  <headerFooter>
    <oddFooter>&amp;LCopyright Fluid Sealing Association 2014. 
All rights reserved.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O48"/>
  <sheetViews>
    <sheetView showGridLines="0" showRowColHeaders="0" zoomScale="85" zoomScaleNormal="85" zoomScaleSheetLayoutView="85" workbookViewId="0">
      <selection activeCell="E25" sqref="E25"/>
    </sheetView>
  </sheetViews>
  <sheetFormatPr defaultRowHeight="12.75" x14ac:dyDescent="0.2"/>
  <cols>
    <col min="1" max="1" width="11.42578125" style="271" customWidth="1"/>
    <col min="2" max="3" width="4.140625" style="271" customWidth="1"/>
    <col min="4" max="4" width="62.85546875" style="271" customWidth="1"/>
    <col min="5" max="5" width="57" style="271" customWidth="1"/>
    <col min="6" max="6" width="9.140625" style="271"/>
    <col min="7" max="11" width="9" style="271" customWidth="1"/>
    <col min="12" max="12" width="9.140625" style="271"/>
    <col min="13" max="13" width="18.140625" style="271" hidden="1" customWidth="1"/>
    <col min="14" max="15" width="9.140625" style="271" hidden="1" customWidth="1"/>
    <col min="16" max="16384" width="9.140625" style="271"/>
  </cols>
  <sheetData>
    <row r="1" spans="2:15" ht="14.25" x14ac:dyDescent="0.2">
      <c r="M1" s="62" t="s">
        <v>637</v>
      </c>
      <c r="N1" s="62"/>
      <c r="O1" s="62"/>
    </row>
    <row r="2" spans="2:15" ht="93.75" customHeight="1" thickBot="1" x14ac:dyDescent="0.25">
      <c r="G2" s="272" t="s">
        <v>745</v>
      </c>
      <c r="H2" s="272"/>
    </row>
    <row r="3" spans="2:15" ht="26.25" thickBot="1" x14ac:dyDescent="0.4">
      <c r="B3" s="273" t="s">
        <v>584</v>
      </c>
      <c r="C3" s="273"/>
      <c r="G3" s="287"/>
      <c r="H3" s="288"/>
      <c r="I3" s="274" t="str">
        <f>'INPUTS-OUTPUTS'!K26</f>
        <v>Current Scenario</v>
      </c>
      <c r="J3" s="274" t="str">
        <f>'INPUTS-OUTPUTS'!M26</f>
        <v>Scenario 1</v>
      </c>
      <c r="K3" s="274" t="str">
        <f>'INPUTS-OUTPUTS'!O26</f>
        <v>Scenario 2</v>
      </c>
      <c r="M3" s="279" t="s">
        <v>706</v>
      </c>
      <c r="N3" s="278" t="s">
        <v>157</v>
      </c>
    </row>
    <row r="4" spans="2:15" ht="12.75" customHeight="1" x14ac:dyDescent="0.2">
      <c r="G4" s="285" t="str">
        <f>'INPUTS-OUTPUTS'!H250</f>
        <v>Flush</v>
      </c>
      <c r="H4" s="286"/>
      <c r="I4" s="275">
        <f>'INPUTS-OUTPUTS'!K250</f>
        <v>0</v>
      </c>
      <c r="J4" s="275">
        <f>'INPUTS-OUTPUTS'!M250</f>
        <v>459.9</v>
      </c>
      <c r="K4" s="275">
        <f>'INPUTS-OUTPUTS'!O250</f>
        <v>26.28</v>
      </c>
    </row>
    <row r="5" spans="2:15" x14ac:dyDescent="0.2">
      <c r="G5" s="285" t="str">
        <f>'INPUTS-OUTPUTS'!H252</f>
        <v>Quench</v>
      </c>
      <c r="H5" s="286"/>
      <c r="I5" s="275">
        <f>'INPUTS-OUTPUTS'!K252</f>
        <v>0</v>
      </c>
      <c r="J5" s="275">
        <f>'INPUTS-OUTPUTS'!M252</f>
        <v>0</v>
      </c>
      <c r="K5" s="275">
        <f>'INPUTS-OUTPUTS'!O252</f>
        <v>0</v>
      </c>
    </row>
    <row r="6" spans="2:15" ht="19.5" x14ac:dyDescent="0.25">
      <c r="C6" s="276" t="str">
        <f>'INPUTS-OUTPUTS'!K26</f>
        <v>Current Scenario</v>
      </c>
      <c r="G6" s="285" t="str">
        <f>'INPUTS-OUTPUTS'!H254</f>
        <v>Effluent</v>
      </c>
      <c r="H6" s="286"/>
      <c r="I6" s="275">
        <f>'INPUTS-OUTPUTS'!K254</f>
        <v>0</v>
      </c>
      <c r="J6" s="275">
        <f>'INPUTS-OUTPUTS'!M254</f>
        <v>0</v>
      </c>
      <c r="K6" s="275">
        <f>'INPUTS-OUTPUTS'!O254</f>
        <v>2102.4</v>
      </c>
    </row>
    <row r="7" spans="2:15" ht="19.5" x14ac:dyDescent="0.25">
      <c r="C7" s="276" t="str">
        <f>'INPUTS-OUTPUTS'!K30</f>
        <v>Sgl/23</v>
      </c>
      <c r="G7" s="285" t="str">
        <f>'INPUTS-OUTPUTS'!H256</f>
        <v>Cooling Water</v>
      </c>
      <c r="H7" s="286"/>
      <c r="I7" s="275">
        <f>'INPUTS-OUTPUTS'!K256</f>
        <v>0</v>
      </c>
      <c r="J7" s="275">
        <f>'INPUTS-OUTPUTS'!M256</f>
        <v>0</v>
      </c>
      <c r="K7" s="275">
        <f>'INPUTS-OUTPUTS'!O256</f>
        <v>0</v>
      </c>
    </row>
    <row r="8" spans="2:15" ht="19.5" x14ac:dyDescent="0.25">
      <c r="C8" s="277" t="str">
        <f>CONCATENATE("Total Annual Operating Cost: ",IF(UnitsOfMeasure="Metric","","$ "),TEXT(SUM(I4:I11),"0.00"),IF(UnitsOfMeasure="Metric"," €",""))</f>
        <v>Total Annual Operating Cost: $ 11.57</v>
      </c>
      <c r="G8" s="285" t="str">
        <f>'INPUTS-OUTPUTS'!H258</f>
        <v>Nitrogen</v>
      </c>
      <c r="H8" s="286"/>
      <c r="I8" s="275">
        <f>'INPUTS-OUTPUTS'!K258</f>
        <v>0</v>
      </c>
      <c r="J8" s="275">
        <f>'INPUTS-OUTPUTS'!M258</f>
        <v>0</v>
      </c>
      <c r="K8" s="275">
        <f>'INPUTS-OUTPUTS'!O258</f>
        <v>0</v>
      </c>
    </row>
    <row r="9" spans="2:15" x14ac:dyDescent="0.2">
      <c r="G9" s="285" t="str">
        <f>'INPUTS-OUTPUTS'!H260</f>
        <v>Product Loss</v>
      </c>
      <c r="H9" s="286"/>
      <c r="I9" s="275">
        <f>'INPUTS-OUTPUTS'!K260</f>
        <v>11.571959999999999</v>
      </c>
      <c r="J9" s="275">
        <f>'INPUTS-OUTPUTS'!M260</f>
        <v>11.571959999999999</v>
      </c>
      <c r="K9" s="275">
        <f>'INPUTS-OUTPUTS'!O260</f>
        <v>161.98992000000001</v>
      </c>
    </row>
    <row r="10" spans="2:15" x14ac:dyDescent="0.2">
      <c r="G10" s="285" t="str">
        <f>'INPUTS-OUTPUTS'!H262</f>
        <v>Barrier Fluid</v>
      </c>
      <c r="H10" s="286"/>
      <c r="I10" s="275">
        <f>'INPUTS-OUTPUTS'!K262</f>
        <v>0</v>
      </c>
      <c r="J10" s="275">
        <f>'INPUTS-OUTPUTS'!M262</f>
        <v>0</v>
      </c>
      <c r="K10" s="275">
        <f>'INPUTS-OUTPUTS'!O262</f>
        <v>0</v>
      </c>
    </row>
    <row r="11" spans="2:15" x14ac:dyDescent="0.2">
      <c r="G11" s="285" t="str">
        <f>'INPUTS-OUTPUTS'!H264</f>
        <v>Additional</v>
      </c>
      <c r="H11" s="286"/>
      <c r="I11" s="275">
        <f>'INPUTS-OUTPUTS'!K264</f>
        <v>0</v>
      </c>
      <c r="J11" s="275">
        <f>'INPUTS-OUTPUTS'!M264</f>
        <v>0</v>
      </c>
      <c r="K11" s="275">
        <f>'INPUTS-OUTPUTS'!O264</f>
        <v>0</v>
      </c>
    </row>
    <row r="26" spans="3:3" ht="19.5" x14ac:dyDescent="0.25">
      <c r="C26" s="276" t="str">
        <f>'INPUTS-OUTPUTS'!M26</f>
        <v>Scenario 1</v>
      </c>
    </row>
    <row r="27" spans="3:3" ht="19.5" x14ac:dyDescent="0.25">
      <c r="C27" s="276" t="str">
        <f>'INPUTS-OUTPUTS'!M30</f>
        <v>Sgl/32</v>
      </c>
    </row>
    <row r="28" spans="3:3" ht="19.5" x14ac:dyDescent="0.25">
      <c r="C28" s="277" t="str">
        <f>CONCATENATE("Total Annual Operating Cost: ",IF(UnitsOfMeasure="Metric","","$ "),TEXT(SUM(J4:J11),"0.00"),IF(UnitsOfMeasure="Metric"," €",""))</f>
        <v>Total Annual Operating Cost: $ 471.47</v>
      </c>
    </row>
    <row r="46" spans="3:3" ht="19.5" x14ac:dyDescent="0.25">
      <c r="C46" s="276" t="str">
        <f>'INPUTS-OUTPUTS'!O26</f>
        <v>Scenario 2</v>
      </c>
    </row>
    <row r="47" spans="3:3" ht="19.5" x14ac:dyDescent="0.25">
      <c r="C47" s="276" t="str">
        <f>'INPUTS-OUTPUTS'!O30</f>
        <v>Packing</v>
      </c>
    </row>
    <row r="48" spans="3:3" ht="19.5" x14ac:dyDescent="0.25">
      <c r="C48" s="277" t="str">
        <f>CONCATENATE("Total Annual Operating Cost: ",IF(UnitsOfMeasure="Metric","","$"),TEXT(SUM(K4:K11),"0.00"),IF(UnitsOfMeasure="Metric"," €",""))</f>
        <v>Total Annual Operating Cost: $2290.67</v>
      </c>
    </row>
  </sheetData>
  <sheetProtection password="EFB4" sheet="1" selectLockedCells="1" selectUnlockedCells="1"/>
  <phoneticPr fontId="0" type="noConversion"/>
  <conditionalFormatting sqref="G2:K11">
    <cfRule type="expression" dxfId="0" priority="1" stopIfTrue="1">
      <formula>($N$3="No")</formula>
    </cfRule>
  </conditionalFormatting>
  <pageMargins left="0.7" right="0.7" top="0.75" bottom="0.75" header="0.3" footer="0.3"/>
  <pageSetup scale="65" fitToHeight="0" orientation="portrait" horizontalDpi="1200" verticalDpi="1200" r:id="rId1"/>
  <headerFooter>
    <oddFooter>&amp;LCopyright Fluid Sealing Association 2014. 
All rights reserved.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140"/>
  <sheetViews>
    <sheetView showGridLines="0" showRowColHeaders="0" zoomScale="85" zoomScaleNormal="85" zoomScaleSheetLayoutView="85" workbookViewId="0">
      <selection activeCell="C32" sqref="C32"/>
    </sheetView>
  </sheetViews>
  <sheetFormatPr defaultRowHeight="14.25" x14ac:dyDescent="0.2"/>
  <cols>
    <col min="1" max="1" width="11.42578125" style="43" customWidth="1"/>
    <col min="2" max="2" width="66.28515625" style="43" customWidth="1"/>
    <col min="3" max="3" width="17.85546875" style="43" customWidth="1"/>
    <col min="4" max="4" width="12" style="43" customWidth="1"/>
    <col min="5" max="6" width="9.140625" style="43"/>
    <col min="7" max="7" width="13.7109375" style="43" customWidth="1"/>
    <col min="8" max="8" width="9.140625" style="43"/>
    <col min="9" max="9" width="30.5703125" style="43" hidden="1" customWidth="1"/>
    <col min="10" max="11" width="14.140625" style="43" hidden="1" customWidth="1"/>
    <col min="12" max="12" width="2.85546875" style="43" hidden="1" customWidth="1"/>
    <col min="13" max="14" width="14.140625" style="43" hidden="1" customWidth="1"/>
    <col min="15" max="15" width="2.85546875" style="43" hidden="1" customWidth="1"/>
    <col min="16" max="16384" width="9.140625" style="43"/>
  </cols>
  <sheetData>
    <row r="1" spans="2:15" ht="12.75" customHeight="1" x14ac:dyDescent="0.2">
      <c r="I1" s="62" t="s">
        <v>576</v>
      </c>
      <c r="J1" s="62"/>
      <c r="K1" s="62"/>
      <c r="L1" s="62"/>
      <c r="M1" s="62"/>
      <c r="N1" s="62"/>
      <c r="O1" s="62"/>
    </row>
    <row r="2" spans="2:15" ht="93" customHeight="1" x14ac:dyDescent="0.2"/>
    <row r="3" spans="2:15" ht="25.5" x14ac:dyDescent="0.2">
      <c r="B3" s="229" t="s">
        <v>585</v>
      </c>
      <c r="J3" s="299" t="s">
        <v>192</v>
      </c>
      <c r="K3" s="300"/>
      <c r="L3" s="50"/>
      <c r="M3" s="299" t="s">
        <v>193</v>
      </c>
      <c r="N3" s="300"/>
    </row>
    <row r="4" spans="2:15" ht="12" customHeight="1" x14ac:dyDescent="0.2">
      <c r="B4" s="229"/>
    </row>
    <row r="5" spans="2:15" ht="12" customHeight="1" x14ac:dyDescent="0.2">
      <c r="B5" s="229"/>
    </row>
    <row r="6" spans="2:15" ht="12" customHeight="1" x14ac:dyDescent="0.2">
      <c r="B6" s="229"/>
    </row>
    <row r="7" spans="2:15" ht="12" customHeight="1" x14ac:dyDescent="0.2">
      <c r="B7" s="229"/>
    </row>
    <row r="8" spans="2:15" ht="12" customHeight="1" x14ac:dyDescent="0.2">
      <c r="B8" s="229"/>
    </row>
    <row r="9" spans="2:15" ht="12" customHeight="1" x14ac:dyDescent="0.2">
      <c r="B9" s="229"/>
    </row>
    <row r="10" spans="2:15" ht="12" customHeight="1" x14ac:dyDescent="0.2">
      <c r="B10" s="229"/>
    </row>
    <row r="11" spans="2:15" ht="12" customHeight="1" x14ac:dyDescent="0.2">
      <c r="B11" s="229"/>
    </row>
    <row r="12" spans="2:15" ht="12" customHeight="1" x14ac:dyDescent="0.2">
      <c r="B12" s="229"/>
    </row>
    <row r="13" spans="2:15" ht="12" customHeight="1" x14ac:dyDescent="0.2">
      <c r="B13" s="229"/>
    </row>
    <row r="14" spans="2:15" ht="12" customHeight="1" x14ac:dyDescent="0.2">
      <c r="B14" s="229"/>
    </row>
    <row r="15" spans="2:15" ht="12" customHeight="1" x14ac:dyDescent="0.2">
      <c r="B15" s="229"/>
    </row>
    <row r="16" spans="2:15" ht="12" customHeight="1" x14ac:dyDescent="0.2">
      <c r="B16" s="229"/>
    </row>
    <row r="17" spans="1:14" ht="12" customHeight="1" x14ac:dyDescent="0.2">
      <c r="B17" s="229"/>
    </row>
    <row r="18" spans="1:14" ht="12" customHeight="1" x14ac:dyDescent="0.2">
      <c r="B18" s="229"/>
    </row>
    <row r="19" spans="1:14" ht="12" customHeight="1" x14ac:dyDescent="0.2">
      <c r="B19" s="229"/>
    </row>
    <row r="20" spans="1:14" ht="12" customHeight="1" x14ac:dyDescent="0.2">
      <c r="B20" s="229"/>
    </row>
    <row r="21" spans="1:14" ht="12" customHeight="1" x14ac:dyDescent="0.2">
      <c r="B21" s="229"/>
    </row>
    <row r="22" spans="1:14" ht="12" customHeight="1" x14ac:dyDescent="0.2">
      <c r="B22" s="229"/>
    </row>
    <row r="23" spans="1:14" ht="12" customHeight="1" x14ac:dyDescent="0.2">
      <c r="B23" s="229"/>
    </row>
    <row r="24" spans="1:14" ht="12" customHeight="1" x14ac:dyDescent="0.2">
      <c r="B24" s="229"/>
    </row>
    <row r="25" spans="1:14" ht="12" customHeight="1" x14ac:dyDescent="0.2">
      <c r="B25" s="229"/>
      <c r="I25" s="301"/>
    </row>
    <row r="26" spans="1:14" ht="12" customHeight="1" x14ac:dyDescent="0.2">
      <c r="B26" s="229"/>
    </row>
    <row r="27" spans="1:14" ht="12" customHeight="1" x14ac:dyDescent="0.2">
      <c r="B27" s="229"/>
    </row>
    <row r="28" spans="1:14" ht="12" customHeight="1" x14ac:dyDescent="0.2">
      <c r="B28" s="229"/>
    </row>
    <row r="29" spans="1:14" ht="12" customHeight="1" x14ac:dyDescent="0.2">
      <c r="B29" s="229"/>
    </row>
    <row r="30" spans="1:14" ht="12" customHeight="1" x14ac:dyDescent="0.2">
      <c r="B30" s="229"/>
    </row>
    <row r="31" spans="1:14" ht="13.5" customHeight="1" x14ac:dyDescent="0.2">
      <c r="A31" s="229"/>
    </row>
    <row r="32" spans="1:14" ht="18.75" customHeight="1" x14ac:dyDescent="0.2">
      <c r="A32" s="229"/>
      <c r="B32" s="302" t="s">
        <v>586</v>
      </c>
      <c r="C32" s="123">
        <f>IF(UnitsOfMeasure="Metric",50,2)</f>
        <v>2</v>
      </c>
      <c r="D32" s="303" t="str">
        <f>IF(UnitsOfMeasure="Metric","mm","inch")</f>
        <v>inch</v>
      </c>
      <c r="J32" s="90">
        <f>IF(UnitsOfMeasure="Metric",C32,C32*$N$85)</f>
        <v>50.8</v>
      </c>
      <c r="K32" s="91" t="s">
        <v>247</v>
      </c>
      <c r="L32" s="50"/>
      <c r="M32" s="90">
        <f>IF(UnitsOfMeasure="Metric",C32/$N$85,C32)</f>
        <v>2</v>
      </c>
      <c r="N32" s="91" t="s">
        <v>250</v>
      </c>
    </row>
    <row r="33" spans="1:14" ht="3" customHeight="1" x14ac:dyDescent="0.2">
      <c r="A33" s="229"/>
      <c r="B33" s="44"/>
      <c r="D33" s="232"/>
      <c r="J33" s="304"/>
      <c r="M33" s="304"/>
    </row>
    <row r="34" spans="1:14" ht="18.75" customHeight="1" x14ac:dyDescent="0.2">
      <c r="A34" s="229"/>
      <c r="B34" s="302" t="s">
        <v>587</v>
      </c>
      <c r="C34" s="123">
        <f>IF(UnitsOfMeasure="Metric",50.13,2.005)</f>
        <v>2.0049999999999999</v>
      </c>
      <c r="D34" s="303" t="str">
        <f>IF(UnitsOfMeasure="Metric","mm","inch")</f>
        <v>inch</v>
      </c>
      <c r="J34" s="90">
        <f>IF(UnitsOfMeasure="Metric",C34,C34*$N$85)</f>
        <v>50.926999999999992</v>
      </c>
      <c r="K34" s="91" t="s">
        <v>247</v>
      </c>
      <c r="L34" s="50"/>
      <c r="M34" s="90">
        <f>IF(UnitsOfMeasure="Metric",C34/$N$85,C34)</f>
        <v>2.0049999999999999</v>
      </c>
      <c r="N34" s="91" t="s">
        <v>250</v>
      </c>
    </row>
    <row r="35" spans="1:14" ht="3" customHeight="1" x14ac:dyDescent="0.2">
      <c r="A35" s="229"/>
      <c r="B35" s="44"/>
      <c r="D35" s="232"/>
      <c r="J35" s="304"/>
      <c r="M35" s="304"/>
    </row>
    <row r="36" spans="1:14" ht="18.75" customHeight="1" x14ac:dyDescent="0.2">
      <c r="A36" s="229"/>
      <c r="B36" s="302" t="s">
        <v>588</v>
      </c>
      <c r="C36" s="123">
        <f>IF(UnitsOfMeasure="Metric",25,1)</f>
        <v>1</v>
      </c>
      <c r="D36" s="303" t="str">
        <f>IF(UnitsOfMeasure="Metric","mm","inch")</f>
        <v>inch</v>
      </c>
      <c r="J36" s="90">
        <f>IF(UnitsOfMeasure="Metric",C36,C36*$N$85)</f>
        <v>25.4</v>
      </c>
      <c r="K36" s="91" t="s">
        <v>247</v>
      </c>
      <c r="L36" s="50"/>
      <c r="M36" s="90">
        <f>IF(UnitsOfMeasure="Metric",C36/$N$85,C36)</f>
        <v>1</v>
      </c>
      <c r="N36" s="91" t="s">
        <v>250</v>
      </c>
    </row>
    <row r="37" spans="1:14" ht="3" customHeight="1" x14ac:dyDescent="0.2">
      <c r="A37" s="229"/>
      <c r="B37" s="44"/>
      <c r="D37" s="232"/>
      <c r="J37" s="304"/>
      <c r="M37" s="304"/>
    </row>
    <row r="38" spans="1:14" ht="18.75" customHeight="1" x14ac:dyDescent="0.2">
      <c r="A38" s="229"/>
      <c r="B38" s="302" t="s">
        <v>589</v>
      </c>
      <c r="C38" s="123">
        <f>IF(UnitsOfMeasure="Metric",1,15)</f>
        <v>15</v>
      </c>
      <c r="D38" s="303" t="str">
        <f>IF(UnitsOfMeasure="Metric","bar","psi")</f>
        <v>psi</v>
      </c>
      <c r="J38" s="90">
        <f>IF(UnitsOfMeasure="Metric",C38,C38/$N$86)</f>
        <v>1.0342117238241013</v>
      </c>
      <c r="K38" s="91" t="s">
        <v>375</v>
      </c>
      <c r="L38" s="50"/>
      <c r="M38" s="90">
        <f>IF(UnitsOfMeasure="Metric",C38*$N$86,C38)</f>
        <v>15</v>
      </c>
      <c r="N38" s="91" t="s">
        <v>376</v>
      </c>
    </row>
    <row r="39" spans="1:14" ht="3" customHeight="1" x14ac:dyDescent="0.2">
      <c r="A39" s="229"/>
      <c r="B39" s="44"/>
      <c r="D39" s="232"/>
      <c r="J39" s="304"/>
      <c r="M39" s="304"/>
    </row>
    <row r="40" spans="1:14" ht="18" customHeight="1" x14ac:dyDescent="0.2">
      <c r="A40" s="229"/>
      <c r="B40" s="302" t="s">
        <v>614</v>
      </c>
      <c r="C40" s="123">
        <f>IF(UnitsOfMeasure="Metric",20,68)</f>
        <v>68</v>
      </c>
      <c r="D40" s="303" t="str">
        <f>IF(UnitsOfMeasure="Metric","°C","°F")</f>
        <v>°F</v>
      </c>
      <c r="J40" s="90">
        <f>IF(UnitsOfMeasure="Metric",C40,(C40-32)*5/9)</f>
        <v>20</v>
      </c>
      <c r="K40" s="91" t="s">
        <v>249</v>
      </c>
      <c r="L40" s="50"/>
      <c r="M40" s="90">
        <f>IF(UnitsOfMeasure="Metric",C40*9/5+32,C40)</f>
        <v>68</v>
      </c>
      <c r="N40" s="91" t="s">
        <v>204</v>
      </c>
    </row>
    <row r="41" spans="1:14" ht="3" customHeight="1" x14ac:dyDescent="0.2">
      <c r="A41" s="229"/>
      <c r="B41" s="44"/>
      <c r="D41" s="232"/>
      <c r="J41" s="304"/>
      <c r="M41" s="304"/>
    </row>
    <row r="42" spans="1:14" ht="18.75" customHeight="1" x14ac:dyDescent="0.2">
      <c r="A42" s="229"/>
      <c r="B42" s="302" t="s">
        <v>617</v>
      </c>
      <c r="C42" s="123">
        <f>IF(UnitsOfMeasure="Metric",40,100)</f>
        <v>100</v>
      </c>
      <c r="D42" s="303" t="str">
        <f>IF(UnitsOfMeasure="Metric","°C","°F")</f>
        <v>°F</v>
      </c>
      <c r="J42" s="90">
        <f>IF(UnitsOfMeasure="Metric",C42,(C42-32)*5/9)</f>
        <v>37.777777777777779</v>
      </c>
      <c r="K42" s="91" t="s">
        <v>249</v>
      </c>
      <c r="L42" s="50"/>
      <c r="M42" s="90">
        <f>IF(UnitsOfMeasure="Metric",C42*9/5+32,C42)</f>
        <v>100</v>
      </c>
      <c r="N42" s="91" t="s">
        <v>204</v>
      </c>
    </row>
    <row r="43" spans="1:14" ht="3" customHeight="1" x14ac:dyDescent="0.2">
      <c r="A43" s="229"/>
      <c r="B43" s="44"/>
      <c r="D43" s="232"/>
      <c r="J43" s="304"/>
      <c r="M43" s="304"/>
    </row>
    <row r="44" spans="1:14" ht="18" customHeight="1" x14ac:dyDescent="0.2">
      <c r="A44" s="229"/>
      <c r="B44" s="302" t="s">
        <v>612</v>
      </c>
      <c r="C44" s="123" t="s">
        <v>608</v>
      </c>
      <c r="D44" s="232"/>
      <c r="J44" s="90" t="str">
        <f>C44</f>
        <v>ALLOY C-276</v>
      </c>
      <c r="K44" s="91"/>
      <c r="M44" s="90" t="str">
        <f>C44</f>
        <v>ALLOY C-276</v>
      </c>
      <c r="N44" s="91"/>
    </row>
    <row r="45" spans="1:14" ht="3" customHeight="1" x14ac:dyDescent="0.2">
      <c r="A45" s="229"/>
      <c r="B45" s="44"/>
      <c r="D45" s="232"/>
      <c r="J45" s="304"/>
      <c r="M45" s="304"/>
    </row>
    <row r="46" spans="1:14" ht="18.75" customHeight="1" x14ac:dyDescent="0.2">
      <c r="A46" s="229"/>
      <c r="B46" s="302" t="s">
        <v>590</v>
      </c>
      <c r="C46" s="130">
        <f>VLOOKUP(C44,$I$100:$K$106,IF(UnitsOfMeasure="Metric",2,3),FALSE)</f>
        <v>6.2999999999999998E-6</v>
      </c>
      <c r="D46" s="303" t="str">
        <f>IF(UnitsOfMeasure="Metric","mm / mm / °C","in / in / °F")</f>
        <v>in / in / °F</v>
      </c>
      <c r="J46" s="90">
        <f>IF(UnitsOfMeasure="Metric",C46,C46*9/5)</f>
        <v>1.134E-5</v>
      </c>
      <c r="K46" s="91" t="s">
        <v>610</v>
      </c>
      <c r="L46" s="50"/>
      <c r="M46" s="90">
        <f>IF(UnitsOfMeasure="Metric",C46*5/9,C46)</f>
        <v>6.2999999999999998E-6</v>
      </c>
      <c r="N46" s="91" t="s">
        <v>609</v>
      </c>
    </row>
    <row r="47" spans="1:14" ht="3" customHeight="1" x14ac:dyDescent="0.2">
      <c r="A47" s="229"/>
      <c r="B47" s="44"/>
      <c r="D47" s="232"/>
      <c r="J47" s="304"/>
      <c r="M47" s="304"/>
    </row>
    <row r="48" spans="1:14" ht="18" customHeight="1" x14ac:dyDescent="0.2">
      <c r="A48" s="229"/>
      <c r="B48" s="302" t="s">
        <v>613</v>
      </c>
      <c r="C48" s="123" t="s">
        <v>599</v>
      </c>
      <c r="D48" s="232"/>
      <c r="J48" s="90" t="str">
        <f>C48</f>
        <v>CARBON</v>
      </c>
      <c r="K48" s="91"/>
      <c r="M48" s="90" t="str">
        <f>C48</f>
        <v>CARBON</v>
      </c>
      <c r="N48" s="91"/>
    </row>
    <row r="49" spans="1:14" ht="3" customHeight="1" x14ac:dyDescent="0.2">
      <c r="A49" s="229"/>
      <c r="B49" s="44"/>
      <c r="D49" s="232"/>
      <c r="J49" s="304"/>
      <c r="M49" s="304"/>
    </row>
    <row r="50" spans="1:14" ht="18.75" customHeight="1" x14ac:dyDescent="0.2">
      <c r="A50" s="229"/>
      <c r="B50" s="302" t="s">
        <v>591</v>
      </c>
      <c r="C50" s="130">
        <f>VLOOKUP(C48,$I$85:$K$96,IF(UnitsOfMeasure="Metric",2,3),FALSE)</f>
        <v>2.2000000000000001E-6</v>
      </c>
      <c r="D50" s="303" t="str">
        <f>IF(UnitsOfMeasure="Metric","mm / mm / °C","in / in / °F")</f>
        <v>in / in / °F</v>
      </c>
      <c r="J50" s="90">
        <f>VLOOKUP(C48,$I$85:$K$96,2,FALSE)</f>
        <v>3.9999999999999998E-6</v>
      </c>
      <c r="K50" s="91" t="s">
        <v>610</v>
      </c>
      <c r="L50" s="50"/>
      <c r="M50" s="90">
        <f>VLOOKUP(C48,$I$85:$K$96,3,FALSE)</f>
        <v>2.2000000000000001E-6</v>
      </c>
      <c r="N50" s="91" t="s">
        <v>609</v>
      </c>
    </row>
    <row r="51" spans="1:14" ht="3" customHeight="1" x14ac:dyDescent="0.2">
      <c r="A51" s="229"/>
      <c r="B51" s="44"/>
      <c r="D51" s="232"/>
      <c r="J51" s="304"/>
      <c r="M51" s="304"/>
    </row>
    <row r="52" spans="1:14" ht="18.75" customHeight="1" x14ac:dyDescent="0.2">
      <c r="A52" s="229"/>
      <c r="B52" s="302" t="s">
        <v>742</v>
      </c>
      <c r="C52" s="131">
        <v>1</v>
      </c>
      <c r="D52" s="232" t="s">
        <v>256</v>
      </c>
      <c r="J52" s="90">
        <f>C52</f>
        <v>1</v>
      </c>
      <c r="K52" s="91" t="s">
        <v>256</v>
      </c>
      <c r="M52" s="90">
        <f>C52</f>
        <v>1</v>
      </c>
      <c r="N52" s="91" t="s">
        <v>256</v>
      </c>
    </row>
    <row r="53" spans="1:14" ht="3" customHeight="1" x14ac:dyDescent="0.2">
      <c r="A53" s="229"/>
      <c r="B53" s="44"/>
      <c r="D53" s="232"/>
      <c r="J53" s="304"/>
      <c r="M53" s="304"/>
    </row>
    <row r="54" spans="1:14" ht="18.75" customHeight="1" x14ac:dyDescent="0.2">
      <c r="A54" s="229"/>
      <c r="B54" s="302" t="s">
        <v>743</v>
      </c>
      <c r="C54" s="123">
        <v>1</v>
      </c>
      <c r="D54" s="232" t="s">
        <v>592</v>
      </c>
      <c r="J54" s="90">
        <f>C54</f>
        <v>1</v>
      </c>
      <c r="K54" s="91" t="s">
        <v>592</v>
      </c>
      <c r="M54" s="90">
        <f>C54</f>
        <v>1</v>
      </c>
      <c r="N54" s="91" t="s">
        <v>592</v>
      </c>
    </row>
    <row r="55" spans="1:14" ht="3" customHeight="1" x14ac:dyDescent="0.2">
      <c r="A55" s="229"/>
      <c r="B55" s="44"/>
      <c r="J55" s="304"/>
      <c r="M55" s="304"/>
    </row>
    <row r="56" spans="1:14" ht="18" customHeight="1" x14ac:dyDescent="0.2">
      <c r="A56" s="229"/>
      <c r="B56" s="302" t="s">
        <v>593</v>
      </c>
      <c r="C56" s="237">
        <f>IF(UnitsOfMeasure="Metric",ROUND(J60,3),ROUND(M60,4))</f>
        <v>2.3999999999999998E-3</v>
      </c>
      <c r="D56" s="303" t="str">
        <f>IF(UnitsOfMeasure="Metric","mm","inch")</f>
        <v>inch</v>
      </c>
      <c r="E56" s="305" t="str">
        <f>IF(C56&lt;=0,"!!!  CAUTION  !!!","")</f>
        <v/>
      </c>
      <c r="I56" s="107" t="s">
        <v>615</v>
      </c>
      <c r="J56" s="94">
        <f>J32*(1+J46*(J42-J40))</f>
        <v>50.81024128</v>
      </c>
      <c r="K56" s="95" t="s">
        <v>247</v>
      </c>
      <c r="L56" s="50"/>
      <c r="M56" s="94">
        <f>M32*(1+M46*(M42-M40))</f>
        <v>2.0004032</v>
      </c>
      <c r="N56" s="95" t="s">
        <v>250</v>
      </c>
    </row>
    <row r="57" spans="1:14" ht="3" customHeight="1" x14ac:dyDescent="0.2">
      <c r="A57" s="229"/>
      <c r="B57" s="44"/>
      <c r="I57" s="107"/>
      <c r="J57" s="108"/>
      <c r="K57" s="89"/>
      <c r="L57" s="50"/>
      <c r="M57" s="108"/>
      <c r="N57" s="89"/>
    </row>
    <row r="58" spans="1:14" ht="18" customHeight="1" x14ac:dyDescent="0.2">
      <c r="A58" s="229"/>
      <c r="B58" s="302" t="s">
        <v>594</v>
      </c>
      <c r="C58" s="306">
        <f>IF(UnitsOfMeasure="Metric",J80,M80)</f>
        <v>0.18532021934779006</v>
      </c>
      <c r="D58" s="303" t="str">
        <f>IF(UnitsOfMeasure="Metric","l / min","GPM")</f>
        <v>GPM</v>
      </c>
      <c r="E58" s="305" t="str">
        <f>IF(C56&lt;=0,"Bushing ID is too small","")</f>
        <v/>
      </c>
      <c r="I58" s="107" t="s">
        <v>616</v>
      </c>
      <c r="J58" s="94">
        <f>J34*(1+J50*(J42-J40))</f>
        <v>50.930621475555547</v>
      </c>
      <c r="K58" s="95" t="s">
        <v>247</v>
      </c>
      <c r="L58" s="50"/>
      <c r="M58" s="94">
        <f>M34*(1+M50*(M42-M40))</f>
        <v>2.0051411519999998</v>
      </c>
      <c r="N58" s="95" t="s">
        <v>250</v>
      </c>
    </row>
    <row r="59" spans="1:14" ht="3" customHeight="1" x14ac:dyDescent="0.2">
      <c r="A59" s="229"/>
      <c r="B59" s="44"/>
      <c r="I59" s="107"/>
      <c r="J59" s="108"/>
      <c r="K59" s="89"/>
      <c r="L59" s="50"/>
      <c r="M59" s="108"/>
      <c r="N59" s="89"/>
    </row>
    <row r="60" spans="1:14" ht="18" customHeight="1" x14ac:dyDescent="0.2">
      <c r="A60" s="229"/>
      <c r="B60" s="302"/>
      <c r="C60" s="307" t="str">
        <f>IF(J74=FALSE,CONCATENATE("Flow is laminar @ ",ROUND(IF(UnitsOfMeasure="Metric",J72,M72),2),IF(UnitsOfMeasure="Metric"," m/s"," ft/s")),
"Flow is turbulent")</f>
        <v>Flow is laminar @ 6.05 ft/s</v>
      </c>
      <c r="I60" s="107" t="s">
        <v>618</v>
      </c>
      <c r="J60" s="94">
        <f>0.5*(J58-J56)</f>
        <v>6.0190097777773843E-2</v>
      </c>
      <c r="K60" s="95" t="s">
        <v>247</v>
      </c>
      <c r="L60" s="50"/>
      <c r="M60" s="94">
        <f>0.5*(M58-M56)</f>
        <v>2.3689759999998561E-3</v>
      </c>
      <c r="N60" s="95" t="s">
        <v>250</v>
      </c>
    </row>
    <row r="61" spans="1:14" ht="3" customHeight="1" x14ac:dyDescent="0.2">
      <c r="A61" s="229"/>
      <c r="B61" s="302"/>
      <c r="C61" s="308"/>
      <c r="I61" s="107"/>
      <c r="J61" s="108"/>
      <c r="K61" s="89"/>
      <c r="L61" s="50"/>
      <c r="M61" s="108"/>
      <c r="N61" s="89"/>
    </row>
    <row r="62" spans="1:14" ht="18" customHeight="1" x14ac:dyDescent="0.2">
      <c r="A62" s="229"/>
      <c r="B62" s="302"/>
      <c r="C62" s="308"/>
      <c r="I62" s="107" t="s">
        <v>619</v>
      </c>
      <c r="J62" s="94">
        <f>1+2*(J60/J56)</f>
        <v>1.0023692112558995</v>
      </c>
      <c r="K62" s="95" t="s">
        <v>256</v>
      </c>
      <c r="L62" s="50"/>
      <c r="M62" s="94">
        <f>1+2*(M60/M56)</f>
        <v>1.0023684985107002</v>
      </c>
      <c r="N62" s="95" t="s">
        <v>256</v>
      </c>
    </row>
    <row r="63" spans="1:14" ht="3" customHeight="1" x14ac:dyDescent="0.2">
      <c r="A63" s="229"/>
      <c r="B63" s="302"/>
      <c r="C63" s="308"/>
      <c r="I63" s="107"/>
      <c r="J63" s="304"/>
      <c r="M63" s="304"/>
    </row>
    <row r="64" spans="1:14" ht="18" customHeight="1" x14ac:dyDescent="0.2">
      <c r="A64" s="229"/>
      <c r="C64" s="358" t="s">
        <v>764</v>
      </c>
      <c r="I64" s="107" t="s">
        <v>620</v>
      </c>
      <c r="J64" s="94">
        <f>(J62^2-1)*(0.5+J62^2*(LN(J62)-0.5))/LN(J62)+(J62^2 )  - 0.5*(J62^4+1)</f>
        <v>8.8763478789388728E-9</v>
      </c>
      <c r="K64" s="95" t="s">
        <v>256</v>
      </c>
      <c r="L64" s="50"/>
      <c r="M64" s="94">
        <f>(M62^2-1)*(0.5+M62^2*(LN(M62)-0.5))/LN(M62)+(M62^2 )  - 0.5*(M62^4+1)</f>
        <v>8.8683358434593629E-9</v>
      </c>
      <c r="N64" s="95" t="s">
        <v>256</v>
      </c>
    </row>
    <row r="65" spans="1:14" ht="3" customHeight="1" x14ac:dyDescent="0.2">
      <c r="A65" s="229"/>
      <c r="B65" s="302"/>
      <c r="C65" s="308"/>
      <c r="I65" s="107"/>
      <c r="J65" s="304"/>
      <c r="M65" s="304"/>
    </row>
    <row r="66" spans="1:14" ht="18" customHeight="1" x14ac:dyDescent="0.2">
      <c r="A66" s="229"/>
      <c r="B66" s="302"/>
      <c r="C66" s="308"/>
      <c r="I66" s="107" t="s">
        <v>625</v>
      </c>
      <c r="J66" s="94">
        <f>(1700/5257)*(J56+J60)*J54/J52</f>
        <v>16.450396298691693</v>
      </c>
      <c r="K66" s="95" t="s">
        <v>624</v>
      </c>
      <c r="L66" s="50"/>
      <c r="M66" s="94">
        <f>(1700/782.4)*(M56+M60)*M54/M52</f>
        <v>4.3516266605316973</v>
      </c>
      <c r="N66" s="95" t="s">
        <v>177</v>
      </c>
    </row>
    <row r="67" spans="1:14" ht="3" customHeight="1" x14ac:dyDescent="0.2">
      <c r="A67" s="229"/>
      <c r="B67" s="302"/>
      <c r="C67" s="308"/>
      <c r="I67" s="107"/>
      <c r="J67" s="321"/>
      <c r="M67" s="304"/>
    </row>
    <row r="68" spans="1:14" ht="18" customHeight="1" x14ac:dyDescent="0.2">
      <c r="A68" s="229"/>
      <c r="B68" s="302"/>
      <c r="C68" s="308"/>
      <c r="I68" s="107" t="s">
        <v>621</v>
      </c>
      <c r="J68" s="94">
        <f>2.93*(J38*100)/(J36*J54)*J56^ 4 *J64</f>
        <v>0.70580170620863569</v>
      </c>
      <c r="K68" s="95" t="s">
        <v>624</v>
      </c>
      <c r="L68" s="50"/>
      <c r="M68" s="94">
        <f>87000*M38/(M36*M54)*M56^ 4 *M64</f>
        <v>0.18532021934779006</v>
      </c>
      <c r="N68" s="95" t="s">
        <v>177</v>
      </c>
    </row>
    <row r="69" spans="1:14" ht="3" customHeight="1" x14ac:dyDescent="0.2">
      <c r="A69" s="229"/>
      <c r="B69" s="302"/>
      <c r="C69" s="308"/>
      <c r="I69" s="107"/>
      <c r="J69" s="304"/>
      <c r="M69" s="304"/>
    </row>
    <row r="70" spans="1:14" ht="18" customHeight="1" x14ac:dyDescent="0.2">
      <c r="A70" s="229"/>
      <c r="B70" s="302"/>
      <c r="C70" s="308"/>
      <c r="I70" s="107" t="s">
        <v>622</v>
      </c>
      <c r="J70" s="94">
        <f>31.1*(J56+J60)*((J38*J60^3/J36)^(4/7)-0.0006732)</f>
        <v>0.98880232809909085</v>
      </c>
      <c r="K70" s="95" t="s">
        <v>624</v>
      </c>
      <c r="M70" s="94">
        <f>(3780*0.0381/3600)*(M56+M60)*(((M38*M60^3)/(M36*62.4*(0.0381/3600)^2))^(4/7)-3.484)</f>
        <v>0.26457313307479391</v>
      </c>
      <c r="N70" s="95" t="s">
        <v>177</v>
      </c>
    </row>
    <row r="71" spans="1:14" ht="3" customHeight="1" x14ac:dyDescent="0.2">
      <c r="A71" s="229"/>
      <c r="B71" s="302"/>
      <c r="C71" s="308"/>
      <c r="I71" s="107"/>
      <c r="J71" s="321"/>
      <c r="M71" s="304"/>
    </row>
    <row r="72" spans="1:14" ht="18" customHeight="1" x14ac:dyDescent="0.2">
      <c r="A72" s="229"/>
      <c r="B72" s="302"/>
      <c r="C72" s="308"/>
      <c r="I72" s="107" t="s">
        <v>623</v>
      </c>
      <c r="J72" s="94">
        <f>((J38*1000)*((J58-J56)/2)^2)/(8*J54* 0.01 *J36)</f>
        <v>1.8438935734745008</v>
      </c>
      <c r="K72" s="95" t="s">
        <v>627</v>
      </c>
      <c r="M72" s="94">
        <f>((M38/14.5038*1000000)*((M58-M56)/2*0.0254)^2)/(8*M54* 0.01 *M36*0.0254)*3.281</f>
        <v>6.0461753519799553</v>
      </c>
      <c r="N72" s="95" t="s">
        <v>628</v>
      </c>
    </row>
    <row r="73" spans="1:14" ht="3" customHeight="1" x14ac:dyDescent="0.2">
      <c r="A73" s="229"/>
      <c r="B73" s="302"/>
      <c r="C73" s="308"/>
      <c r="I73" s="107"/>
      <c r="J73" s="304"/>
      <c r="M73" s="321"/>
    </row>
    <row r="74" spans="1:14" ht="18" customHeight="1" x14ac:dyDescent="0.2">
      <c r="A74" s="229"/>
      <c r="B74" s="302"/>
      <c r="C74" s="308"/>
      <c r="I74" s="107" t="s">
        <v>626</v>
      </c>
      <c r="J74" s="94" t="b">
        <f>OR(J68&gt;J66,J70&gt;J66)</f>
        <v>0</v>
      </c>
      <c r="K74" s="95"/>
      <c r="L74" s="50"/>
      <c r="M74" s="94" t="b">
        <f>OR(M68&gt;M66,M70&gt;M66)</f>
        <v>0</v>
      </c>
      <c r="N74" s="95"/>
    </row>
    <row r="75" spans="1:14" ht="3" customHeight="1" x14ac:dyDescent="0.2">
      <c r="A75" s="229"/>
      <c r="B75" s="302"/>
      <c r="C75" s="308"/>
      <c r="I75" s="107"/>
      <c r="J75" s="304"/>
      <c r="M75" s="304"/>
    </row>
    <row r="76" spans="1:14" ht="18" customHeight="1" x14ac:dyDescent="0.2">
      <c r="A76" s="229"/>
      <c r="B76" s="302"/>
      <c r="C76" s="308"/>
      <c r="I76" s="107" t="s">
        <v>629</v>
      </c>
      <c r="J76" s="94">
        <f>IF(J74=TRUE,J70,0)</f>
        <v>0</v>
      </c>
      <c r="K76" s="95" t="s">
        <v>624</v>
      </c>
      <c r="M76" s="94">
        <f>IF(M74=TRUE,M70,0)</f>
        <v>0</v>
      </c>
      <c r="N76" s="95" t="s">
        <v>177</v>
      </c>
    </row>
    <row r="77" spans="1:14" ht="3" customHeight="1" x14ac:dyDescent="0.2">
      <c r="A77" s="229"/>
      <c r="B77" s="302"/>
      <c r="C77" s="308"/>
      <c r="I77" s="107"/>
      <c r="J77" s="304"/>
      <c r="M77" s="304"/>
    </row>
    <row r="78" spans="1:14" ht="18" customHeight="1" x14ac:dyDescent="0.2">
      <c r="A78" s="229"/>
      <c r="B78" s="302"/>
      <c r="C78" s="308"/>
      <c r="I78" s="107" t="s">
        <v>630</v>
      </c>
      <c r="J78" s="94">
        <f>IF(J74=FALSE,J68,0)</f>
        <v>0.70580170620863569</v>
      </c>
      <c r="K78" s="95" t="s">
        <v>624</v>
      </c>
      <c r="M78" s="94">
        <f>IF(M74=FALSE,M68,0)</f>
        <v>0.18532021934779006</v>
      </c>
      <c r="N78" s="95" t="s">
        <v>177</v>
      </c>
    </row>
    <row r="79" spans="1:14" ht="3" customHeight="1" x14ac:dyDescent="0.2">
      <c r="A79" s="229"/>
      <c r="B79" s="302"/>
      <c r="C79" s="308"/>
      <c r="I79" s="107"/>
    </row>
    <row r="80" spans="1:14" ht="18" customHeight="1" x14ac:dyDescent="0.2">
      <c r="A80" s="229"/>
      <c r="B80" s="302"/>
      <c r="C80" s="308"/>
      <c r="I80" s="107" t="s">
        <v>631</v>
      </c>
      <c r="J80" s="309">
        <f>MAX(J78,J76)</f>
        <v>0.70580170620863569</v>
      </c>
      <c r="K80" s="310" t="s">
        <v>624</v>
      </c>
      <c r="L80" s="311"/>
      <c r="M80" s="309">
        <f>MAX(M78,M76)</f>
        <v>0.18532021934779006</v>
      </c>
      <c r="N80" s="310" t="s">
        <v>177</v>
      </c>
    </row>
    <row r="81" spans="1:14" ht="13.5" customHeight="1" x14ac:dyDescent="0.2">
      <c r="A81" s="229"/>
      <c r="B81" s="302"/>
      <c r="C81" s="308"/>
    </row>
    <row r="82" spans="1:14" ht="13.5" customHeight="1" x14ac:dyDescent="0.2">
      <c r="A82" s="229"/>
    </row>
    <row r="83" spans="1:14" ht="13.5" customHeight="1" x14ac:dyDescent="0.2">
      <c r="A83" s="229"/>
      <c r="I83" s="328"/>
      <c r="J83" s="329"/>
      <c r="K83" s="330" t="s">
        <v>611</v>
      </c>
    </row>
    <row r="84" spans="1:14" ht="13.5" customHeight="1" x14ac:dyDescent="0.2">
      <c r="A84" s="229"/>
      <c r="I84" s="331" t="s">
        <v>595</v>
      </c>
      <c r="J84" s="332" t="s">
        <v>635</v>
      </c>
      <c r="K84" s="333" t="s">
        <v>636</v>
      </c>
      <c r="M84" s="53" t="s">
        <v>95</v>
      </c>
    </row>
    <row r="85" spans="1:14" ht="13.5" customHeight="1" x14ac:dyDescent="0.2">
      <c r="A85" s="229"/>
      <c r="E85" s="312"/>
      <c r="F85" s="312"/>
      <c r="I85" s="322" t="s">
        <v>596</v>
      </c>
      <c r="J85" s="323">
        <v>1.5999999999999999E-5</v>
      </c>
      <c r="K85" s="323">
        <v>8.8999999999999995E-6</v>
      </c>
      <c r="L85" s="312"/>
      <c r="M85" s="324">
        <v>1</v>
      </c>
      <c r="N85" s="325">
        <v>25.4</v>
      </c>
    </row>
    <row r="86" spans="1:14" ht="13.5" customHeight="1" x14ac:dyDescent="0.2">
      <c r="A86" s="229"/>
      <c r="E86" s="312"/>
      <c r="F86" s="312"/>
      <c r="I86" s="322" t="s">
        <v>597</v>
      </c>
      <c r="J86" s="323">
        <v>1.5E-5</v>
      </c>
      <c r="K86" s="323">
        <v>8.3000000000000002E-6</v>
      </c>
      <c r="L86" s="312"/>
      <c r="M86" s="326">
        <v>1</v>
      </c>
      <c r="N86" s="327">
        <v>14.5038</v>
      </c>
    </row>
    <row r="87" spans="1:14" ht="13.5" customHeight="1" x14ac:dyDescent="0.2">
      <c r="A87" s="229"/>
      <c r="E87" s="312"/>
      <c r="F87" s="312"/>
      <c r="I87" s="322" t="s">
        <v>598</v>
      </c>
      <c r="J87" s="323">
        <v>1.8E-5</v>
      </c>
      <c r="K87" s="323">
        <v>1.0000000000000001E-5</v>
      </c>
      <c r="L87" s="312"/>
      <c r="M87" s="313"/>
    </row>
    <row r="88" spans="1:14" ht="13.5" customHeight="1" x14ac:dyDescent="0.2">
      <c r="A88" s="229"/>
      <c r="E88" s="312"/>
      <c r="F88" s="312"/>
      <c r="I88" s="322" t="s">
        <v>599</v>
      </c>
      <c r="J88" s="323">
        <v>3.9999999999999998E-6</v>
      </c>
      <c r="K88" s="323">
        <v>2.2000000000000001E-6</v>
      </c>
      <c r="L88" s="312"/>
      <c r="M88" s="313"/>
    </row>
    <row r="89" spans="1:14" ht="13.5" customHeight="1" x14ac:dyDescent="0.2">
      <c r="A89" s="229"/>
      <c r="E89" s="312"/>
      <c r="F89" s="312"/>
      <c r="I89" s="322" t="s">
        <v>600</v>
      </c>
      <c r="J89" s="323">
        <v>1.08E-5</v>
      </c>
      <c r="K89" s="323">
        <v>6.0000000000000002E-6</v>
      </c>
      <c r="L89" s="312"/>
      <c r="M89" s="313"/>
    </row>
    <row r="90" spans="1:14" ht="13.5" customHeight="1" x14ac:dyDescent="0.2">
      <c r="A90" s="229"/>
      <c r="E90" s="312"/>
      <c r="F90" s="312"/>
      <c r="I90" s="322" t="s">
        <v>607</v>
      </c>
      <c r="J90" s="323">
        <v>1.03E-5</v>
      </c>
      <c r="K90" s="323">
        <v>5.6999999999999996E-6</v>
      </c>
      <c r="L90" s="312"/>
      <c r="M90" s="313"/>
    </row>
    <row r="91" spans="1:14" ht="13.5" customHeight="1" x14ac:dyDescent="0.2">
      <c r="A91" s="229"/>
      <c r="E91" s="312"/>
      <c r="F91" s="312"/>
      <c r="I91" s="322" t="s">
        <v>608</v>
      </c>
      <c r="J91" s="323">
        <v>1.13E-5</v>
      </c>
      <c r="K91" s="323">
        <v>6.2999999999999998E-6</v>
      </c>
      <c r="L91" s="312"/>
      <c r="M91" s="313"/>
    </row>
    <row r="92" spans="1:14" ht="13.5" customHeight="1" x14ac:dyDescent="0.2">
      <c r="A92" s="229"/>
      <c r="E92" s="312"/>
      <c r="F92" s="312"/>
      <c r="I92" s="322" t="s">
        <v>601</v>
      </c>
      <c r="J92" s="323">
        <v>1.3499999999999999E-5</v>
      </c>
      <c r="K92" s="323">
        <v>7.5000000000000002E-6</v>
      </c>
      <c r="L92" s="312"/>
      <c r="M92" s="313"/>
    </row>
    <row r="93" spans="1:14" ht="13.5" customHeight="1" x14ac:dyDescent="0.2">
      <c r="A93" s="229"/>
      <c r="E93" s="312"/>
      <c r="F93" s="312"/>
      <c r="I93" s="322" t="s">
        <v>602</v>
      </c>
      <c r="J93" s="323">
        <v>1E-4</v>
      </c>
      <c r="K93" s="323">
        <v>5.5000000000000002E-5</v>
      </c>
      <c r="L93" s="312"/>
      <c r="M93" s="313"/>
    </row>
    <row r="94" spans="1:14" ht="13.5" customHeight="1" x14ac:dyDescent="0.2">
      <c r="A94" s="229"/>
      <c r="E94" s="312"/>
      <c r="F94" s="312"/>
      <c r="I94" s="322" t="s">
        <v>603</v>
      </c>
      <c r="J94" s="323">
        <v>9.0000000000000006E-5</v>
      </c>
      <c r="K94" s="323">
        <v>5.0000000000000002E-5</v>
      </c>
      <c r="L94" s="312"/>
      <c r="M94" s="313"/>
    </row>
    <row r="95" spans="1:14" ht="13.5" customHeight="1" x14ac:dyDescent="0.2">
      <c r="A95" s="229"/>
      <c r="E95" s="312"/>
      <c r="F95" s="312"/>
      <c r="I95" s="322" t="s">
        <v>604</v>
      </c>
      <c r="J95" s="323">
        <v>3.8E-6</v>
      </c>
      <c r="K95" s="323">
        <v>2.0999999999999998E-6</v>
      </c>
      <c r="L95" s="312"/>
      <c r="M95" s="313"/>
    </row>
    <row r="96" spans="1:14" ht="13.5" customHeight="1" x14ac:dyDescent="0.2">
      <c r="A96" s="229"/>
      <c r="E96" s="312"/>
      <c r="F96" s="312"/>
      <c r="I96" s="322" t="s">
        <v>605</v>
      </c>
      <c r="J96" s="323">
        <v>8.6000000000000007E-6</v>
      </c>
      <c r="K96" s="323">
        <v>4.7999999999999998E-6</v>
      </c>
      <c r="L96" s="312"/>
      <c r="M96" s="313"/>
    </row>
    <row r="97" spans="1:14" ht="13.5" customHeight="1" x14ac:dyDescent="0.2">
      <c r="A97" s="229"/>
      <c r="E97" s="312"/>
      <c r="F97" s="312"/>
      <c r="M97" s="313"/>
    </row>
    <row r="98" spans="1:14" ht="13.5" customHeight="1" x14ac:dyDescent="0.2">
      <c r="A98" s="229"/>
      <c r="I98" s="328"/>
      <c r="J98" s="329"/>
      <c r="K98" s="330" t="s">
        <v>611</v>
      </c>
    </row>
    <row r="99" spans="1:14" ht="13.5" customHeight="1" x14ac:dyDescent="0.2">
      <c r="A99" s="229"/>
      <c r="I99" s="331" t="s">
        <v>606</v>
      </c>
      <c r="J99" s="332" t="s">
        <v>635</v>
      </c>
      <c r="K99" s="333" t="s">
        <v>636</v>
      </c>
    </row>
    <row r="100" spans="1:14" ht="13.5" customHeight="1" x14ac:dyDescent="0.2">
      <c r="A100" s="229"/>
      <c r="I100" s="322" t="s">
        <v>596</v>
      </c>
      <c r="J100" s="323">
        <v>1.5999999999999999E-5</v>
      </c>
      <c r="K100" s="323">
        <v>8.8999999999999995E-6</v>
      </c>
      <c r="L100" s="312"/>
    </row>
    <row r="101" spans="1:14" ht="13.5" customHeight="1" x14ac:dyDescent="0.2">
      <c r="A101" s="229"/>
      <c r="I101" s="322" t="s">
        <v>597</v>
      </c>
      <c r="J101" s="323">
        <v>1.5E-5</v>
      </c>
      <c r="K101" s="323">
        <v>8.3000000000000002E-6</v>
      </c>
      <c r="L101" s="312"/>
    </row>
    <row r="102" spans="1:14" ht="13.5" customHeight="1" x14ac:dyDescent="0.2">
      <c r="A102" s="229"/>
      <c r="I102" s="322" t="s">
        <v>600</v>
      </c>
      <c r="J102" s="323">
        <v>1.08E-5</v>
      </c>
      <c r="K102" s="323">
        <v>6.0000000000000002E-6</v>
      </c>
      <c r="L102" s="312"/>
    </row>
    <row r="103" spans="1:14" ht="13.5" customHeight="1" x14ac:dyDescent="0.2">
      <c r="A103" s="229"/>
      <c r="I103" s="322" t="s">
        <v>607</v>
      </c>
      <c r="J103" s="323">
        <v>1.03E-5</v>
      </c>
      <c r="K103" s="323">
        <v>5.6999999999999996E-6</v>
      </c>
      <c r="L103" s="312"/>
    </row>
    <row r="104" spans="1:14" ht="13.5" customHeight="1" x14ac:dyDescent="0.2">
      <c r="A104" s="229"/>
      <c r="I104" s="322" t="s">
        <v>608</v>
      </c>
      <c r="J104" s="323">
        <v>1.13E-5</v>
      </c>
      <c r="K104" s="323">
        <v>6.2999999999999998E-6</v>
      </c>
      <c r="L104" s="312"/>
    </row>
    <row r="105" spans="1:14" ht="14.25" customHeight="1" x14ac:dyDescent="0.2">
      <c r="I105" s="322" t="s">
        <v>601</v>
      </c>
      <c r="J105" s="323">
        <v>1.3499999999999999E-5</v>
      </c>
      <c r="K105" s="323">
        <v>7.5000000000000002E-6</v>
      </c>
      <c r="L105" s="312"/>
    </row>
    <row r="106" spans="1:14" ht="14.25" customHeight="1" x14ac:dyDescent="0.2">
      <c r="I106" s="322" t="s">
        <v>605</v>
      </c>
      <c r="J106" s="323">
        <v>8.6000000000000007E-6</v>
      </c>
      <c r="K106" s="323">
        <v>4.7999999999999998E-6</v>
      </c>
      <c r="L106" s="312"/>
    </row>
    <row r="107" spans="1:14" ht="14.25" customHeight="1" x14ac:dyDescent="0.2"/>
    <row r="108" spans="1:14" ht="14.25" customHeight="1" x14ac:dyDescent="0.2">
      <c r="J108" s="108"/>
      <c r="K108" s="89"/>
      <c r="L108" s="50"/>
      <c r="M108" s="108"/>
      <c r="N108" s="89"/>
    </row>
    <row r="109" spans="1:14" ht="18.75" customHeight="1" x14ac:dyDescent="0.2"/>
    <row r="110" spans="1:14" ht="14.25" customHeight="1" x14ac:dyDescent="0.2"/>
    <row r="111" spans="1:14" ht="18.75" customHeight="1" x14ac:dyDescent="0.2"/>
    <row r="112" spans="1:14"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sheetData>
  <sheetProtection password="EFB4" sheet="1" objects="1" scenarios="1" selectLockedCells="1"/>
  <phoneticPr fontId="0" type="noConversion"/>
  <dataValidations count="2">
    <dataValidation type="list" allowBlank="1" showInputMessage="1" showErrorMessage="1" sqref="C44">
      <formula1>$I$100:$I$106</formula1>
    </dataValidation>
    <dataValidation type="list" allowBlank="1" showInputMessage="1" showErrorMessage="1" sqref="C48">
      <formula1>$I$85:$I$96</formula1>
    </dataValidation>
  </dataValidations>
  <pageMargins left="0.7" right="0.5" top="0.75" bottom="0.75" header="0.3" footer="0.3"/>
  <pageSetup scale="67" fitToHeight="0" orientation="portrait" horizontalDpi="1200" verticalDpi="1200" r:id="rId1"/>
  <headerFooter>
    <oddFooter>&amp;LCopyright Fluid Sealing Association 2014. 
All rights reserved.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52"/>
  <sheetViews>
    <sheetView showGridLines="0" showRowColHeaders="0" zoomScale="85" zoomScaleNormal="85" zoomScaleSheetLayoutView="55" zoomScalePageLayoutView="85" workbookViewId="0"/>
  </sheetViews>
  <sheetFormatPr defaultRowHeight="12.75" x14ac:dyDescent="0.2"/>
  <cols>
    <col min="1" max="2" width="4.28515625" style="14" customWidth="1"/>
    <col min="3" max="3" width="33.5703125" style="14" customWidth="1"/>
    <col min="4" max="4" width="7.140625" style="14" customWidth="1"/>
    <col min="5" max="5" width="8.5703125" style="14" customWidth="1"/>
    <col min="6" max="6" width="12.7109375" style="14" customWidth="1"/>
    <col min="7" max="7" width="2.85546875" style="14" customWidth="1"/>
    <col min="8" max="8" width="8.5703125" style="14" customWidth="1"/>
    <col min="9" max="9" width="12.7109375" style="14" customWidth="1"/>
    <col min="10" max="10" width="5.7109375" style="14" customWidth="1"/>
    <col min="11" max="11" width="8.5703125" style="14" customWidth="1"/>
    <col min="12" max="12" width="12.7109375" style="14" customWidth="1"/>
    <col min="13" max="13" width="2.85546875" style="14" customWidth="1"/>
    <col min="14" max="14" width="8.5703125" style="14" customWidth="1"/>
    <col min="15" max="15" width="12.7109375" style="14" customWidth="1"/>
    <col min="16" max="16" width="5.7109375" style="14" customWidth="1"/>
    <col min="17" max="17" width="8.5703125" style="14" customWidth="1"/>
    <col min="18" max="18" width="12.7109375" style="14" customWidth="1"/>
    <col min="19" max="19" width="2.85546875" style="14" customWidth="1"/>
    <col min="20" max="20" width="8.5703125" style="14" customWidth="1"/>
    <col min="21" max="21" width="12.7109375" style="14" customWidth="1"/>
    <col min="22" max="16384" width="9.140625" style="14"/>
  </cols>
  <sheetData>
    <row r="1" spans="1:21" ht="14.25" x14ac:dyDescent="0.2">
      <c r="A1" s="1" t="s">
        <v>578</v>
      </c>
      <c r="B1" s="1"/>
      <c r="C1" s="1"/>
    </row>
    <row r="2" spans="1:21" s="9" customFormat="1" ht="24.75" customHeight="1" x14ac:dyDescent="0.2">
      <c r="E2" s="10" t="s">
        <v>282</v>
      </c>
      <c r="F2" s="11"/>
      <c r="G2" s="11"/>
      <c r="H2" s="11"/>
      <c r="I2" s="12"/>
      <c r="K2" s="10" t="s">
        <v>283</v>
      </c>
      <c r="L2" s="11"/>
      <c r="M2" s="11"/>
      <c r="N2" s="11"/>
      <c r="O2" s="12"/>
      <c r="Q2" s="10" t="s">
        <v>284</v>
      </c>
      <c r="R2" s="11"/>
      <c r="S2" s="11"/>
      <c r="T2" s="11"/>
      <c r="U2" s="12"/>
    </row>
    <row r="3" spans="1:21" ht="15" thickBot="1" x14ac:dyDescent="0.25">
      <c r="B3" s="25"/>
      <c r="C3" s="25"/>
      <c r="D3" s="25"/>
      <c r="E3" s="25"/>
      <c r="F3" s="25"/>
      <c r="G3" s="25"/>
      <c r="H3" s="25"/>
      <c r="I3" s="26"/>
      <c r="J3" s="25"/>
      <c r="K3" s="25"/>
      <c r="L3" s="25"/>
      <c r="M3" s="25"/>
      <c r="N3" s="25"/>
      <c r="O3" s="25"/>
      <c r="P3" s="25"/>
      <c r="Q3" s="25"/>
      <c r="R3" s="25"/>
      <c r="S3" s="25"/>
      <c r="T3" s="25"/>
      <c r="U3" s="25"/>
    </row>
    <row r="4" spans="1:21" ht="24.75" customHeight="1" x14ac:dyDescent="0.2">
      <c r="B4" s="36" t="s">
        <v>175</v>
      </c>
      <c r="C4" s="24"/>
    </row>
    <row r="5" spans="1:21" ht="24.75" customHeight="1" x14ac:dyDescent="0.2">
      <c r="B5" s="4" t="s">
        <v>450</v>
      </c>
    </row>
    <row r="6" spans="1:21" ht="16.5" customHeight="1" x14ac:dyDescent="0.2">
      <c r="B6" s="13"/>
      <c r="C6" s="14" t="s">
        <v>449</v>
      </c>
      <c r="E6" s="23">
        <f>'INPUTS-OUTPUTS'!T51</f>
        <v>1</v>
      </c>
      <c r="F6" s="19"/>
      <c r="K6" s="23">
        <f>'INPUTS-OUTPUTS'!AC51</f>
        <v>1</v>
      </c>
      <c r="L6" s="19"/>
      <c r="Q6" s="23">
        <f>'INPUTS-OUTPUTS'!AL51</f>
        <v>1</v>
      </c>
      <c r="R6" s="19"/>
    </row>
    <row r="7" spans="1:21" ht="16.5" customHeight="1" x14ac:dyDescent="0.2">
      <c r="B7" s="13"/>
    </row>
    <row r="8" spans="1:21" ht="24.75" customHeight="1" x14ac:dyDescent="0.2">
      <c r="B8" s="4" t="s">
        <v>333</v>
      </c>
      <c r="E8" s="5" t="s">
        <v>192</v>
      </c>
      <c r="F8" s="6"/>
      <c r="G8" s="7"/>
      <c r="H8" s="5" t="s">
        <v>193</v>
      </c>
      <c r="I8" s="6"/>
      <c r="K8" s="5" t="s">
        <v>192</v>
      </c>
      <c r="L8" s="6"/>
      <c r="M8" s="7"/>
      <c r="N8" s="5" t="s">
        <v>193</v>
      </c>
      <c r="O8" s="6"/>
      <c r="Q8" s="5" t="s">
        <v>192</v>
      </c>
      <c r="R8" s="6"/>
      <c r="S8" s="7"/>
      <c r="T8" s="5" t="s">
        <v>193</v>
      </c>
      <c r="U8" s="6"/>
    </row>
    <row r="9" spans="1:21" ht="15.75" customHeight="1" x14ac:dyDescent="0.2">
      <c r="C9" s="13" t="s">
        <v>201</v>
      </c>
      <c r="D9" s="14" t="s">
        <v>442</v>
      </c>
      <c r="E9" s="15">
        <f>'INPUTS-OUTPUTS'!T95</f>
        <v>3.4473724127470042</v>
      </c>
      <c r="F9" s="19" t="str">
        <f>'INPUTS-OUTPUTS'!U95</f>
        <v>barg</v>
      </c>
      <c r="H9" s="15">
        <f>'INPUTS-OUTPUTS'!W95</f>
        <v>50</v>
      </c>
      <c r="I9" s="19" t="str">
        <f>'INPUTS-OUTPUTS'!X95</f>
        <v>psig</v>
      </c>
      <c r="K9" s="15">
        <f>'INPUTS-OUTPUTS'!AC95</f>
        <v>3.4473724127470042</v>
      </c>
      <c r="L9" s="19" t="str">
        <f>'INPUTS-OUTPUTS'!AD95</f>
        <v>barg</v>
      </c>
      <c r="N9" s="15">
        <f>'INPUTS-OUTPUTS'!AF95</f>
        <v>50</v>
      </c>
      <c r="O9" s="19" t="str">
        <f>'INPUTS-OUTPUTS'!AG95</f>
        <v>psig</v>
      </c>
      <c r="Q9" s="15">
        <f>'INPUTS-OUTPUTS'!AL95</f>
        <v>0</v>
      </c>
      <c r="R9" s="19" t="str">
        <f>'INPUTS-OUTPUTS'!AM95</f>
        <v>barg</v>
      </c>
      <c r="T9" s="15">
        <f>'INPUTS-OUTPUTS'!AO95</f>
        <v>0</v>
      </c>
      <c r="U9" s="19" t="str">
        <f>'INPUTS-OUTPUTS'!AP95</f>
        <v>psig</v>
      </c>
    </row>
    <row r="10" spans="1:21" ht="15.75" customHeight="1" x14ac:dyDescent="0.2">
      <c r="C10" s="13" t="s">
        <v>235</v>
      </c>
      <c r="D10" s="14" t="s">
        <v>443</v>
      </c>
      <c r="E10" s="15">
        <f>'INPUTS-OUTPUTS'!T219</f>
        <v>0</v>
      </c>
      <c r="F10" s="19" t="str">
        <f>'INPUTS-OUTPUTS'!U219</f>
        <v>barg</v>
      </c>
      <c r="H10" s="15">
        <f>'INPUTS-OUTPUTS'!W219</f>
        <v>0</v>
      </c>
      <c r="I10" s="19" t="str">
        <f>'INPUTS-OUTPUTS'!X219</f>
        <v>psig</v>
      </c>
      <c r="K10" s="15">
        <f>'INPUTS-OUTPUTS'!AC219</f>
        <v>0</v>
      </c>
      <c r="L10" s="19" t="str">
        <f>'INPUTS-OUTPUTS'!AD219</f>
        <v>barg</v>
      </c>
      <c r="N10" s="15">
        <f>'INPUTS-OUTPUTS'!AF219</f>
        <v>0</v>
      </c>
      <c r="O10" s="19" t="str">
        <f>'INPUTS-OUTPUTS'!AG219</f>
        <v>psig</v>
      </c>
      <c r="Q10" s="15">
        <f>'INPUTS-OUTPUTS'!AL219</f>
        <v>0</v>
      </c>
      <c r="R10" s="19" t="str">
        <f>'INPUTS-OUTPUTS'!AM219</f>
        <v>barg</v>
      </c>
      <c r="T10" s="15">
        <f>'INPUTS-OUTPUTS'!AO219</f>
        <v>0</v>
      </c>
      <c r="U10" s="19" t="str">
        <f>'INPUTS-OUTPUTS'!AP219</f>
        <v>psig</v>
      </c>
    </row>
    <row r="11" spans="1:21" ht="15.75" customHeight="1" x14ac:dyDescent="0.2">
      <c r="C11" s="13" t="s">
        <v>336</v>
      </c>
      <c r="D11" s="14" t="s">
        <v>337</v>
      </c>
      <c r="E11" s="15">
        <f>ASSUMPTIONS!$K$9</f>
        <v>0.8</v>
      </c>
      <c r="F11" s="19" t="s">
        <v>256</v>
      </c>
      <c r="H11" s="15">
        <f>ASSUMPTIONS!$K$9</f>
        <v>0.8</v>
      </c>
      <c r="I11" s="19" t="s">
        <v>256</v>
      </c>
      <c r="K11" s="15">
        <f>ASSUMPTIONS!$K$9</f>
        <v>0.8</v>
      </c>
      <c r="L11" s="19" t="s">
        <v>256</v>
      </c>
      <c r="N11" s="15">
        <f>ASSUMPTIONS!$K$9</f>
        <v>0.8</v>
      </c>
      <c r="O11" s="19" t="s">
        <v>256</v>
      </c>
      <c r="Q11" s="15">
        <f>ASSUMPTIONS!$K$9</f>
        <v>0.8</v>
      </c>
      <c r="R11" s="19" t="s">
        <v>256</v>
      </c>
      <c r="T11" s="15">
        <f>ASSUMPTIONS!$K$9</f>
        <v>0.8</v>
      </c>
      <c r="U11" s="19" t="s">
        <v>256</v>
      </c>
    </row>
    <row r="12" spans="1:21" ht="15.75" customHeight="1" x14ac:dyDescent="0.2">
      <c r="C12" s="13" t="s">
        <v>431</v>
      </c>
      <c r="D12" s="14" t="s">
        <v>436</v>
      </c>
      <c r="E12" s="15">
        <f>ASSUMPTIONS!$K$11</f>
        <v>0.5</v>
      </c>
      <c r="F12" s="19" t="s">
        <v>256</v>
      </c>
      <c r="H12" s="15">
        <f>ASSUMPTIONS!$K$11</f>
        <v>0.5</v>
      </c>
      <c r="I12" s="19" t="s">
        <v>256</v>
      </c>
      <c r="K12" s="15">
        <f>ASSUMPTIONS!$K$11</f>
        <v>0.5</v>
      </c>
      <c r="L12" s="19" t="s">
        <v>256</v>
      </c>
      <c r="N12" s="15">
        <f>ASSUMPTIONS!$K$11</f>
        <v>0.5</v>
      </c>
      <c r="O12" s="19" t="s">
        <v>256</v>
      </c>
      <c r="Q12" s="15">
        <f>ASSUMPTIONS!$K$11</f>
        <v>0.5</v>
      </c>
      <c r="R12" s="19" t="s">
        <v>256</v>
      </c>
      <c r="T12" s="15">
        <f>ASSUMPTIONS!$K$11</f>
        <v>0.5</v>
      </c>
      <c r="U12" s="19" t="s">
        <v>256</v>
      </c>
    </row>
    <row r="13" spans="1:21" ht="15.75" customHeight="1" x14ac:dyDescent="0.2">
      <c r="C13" s="13" t="s">
        <v>339</v>
      </c>
      <c r="D13" s="14" t="s">
        <v>437</v>
      </c>
      <c r="E13" s="15">
        <f>IF(UnitsOfMeasure="Metric",ASSUMPTIONS!$O$13,(ASSUMPTIONS!$R$13/14.5038))</f>
        <v>2.0684234476482026</v>
      </c>
      <c r="F13" s="19" t="str">
        <f>ASSUMPTIONS!$P$13</f>
        <v>Bar</v>
      </c>
      <c r="H13" s="15">
        <f>IF(UnitsOfMeasure="Metric",(ASSUMPTIONS!$O$13*14.5038),ASSUMPTIONS!$R$13)</f>
        <v>30</v>
      </c>
      <c r="I13" s="19" t="str">
        <f>ASSUMPTIONS!$S$13</f>
        <v>psi</v>
      </c>
      <c r="K13" s="15">
        <f>IF(UnitsOfMeasure="Metric",ASSUMPTIONS!$O$13,(ASSUMPTIONS!$R$13/14.5038))</f>
        <v>2.0684234476482026</v>
      </c>
      <c r="L13" s="19" t="str">
        <f>ASSUMPTIONS!$P$13</f>
        <v>Bar</v>
      </c>
      <c r="N13" s="15">
        <f>IF(UnitsOfMeasure="Metric",(ASSUMPTIONS!$O$13*14.5038),ASSUMPTIONS!$R$13)</f>
        <v>30</v>
      </c>
      <c r="O13" s="19" t="str">
        <f>ASSUMPTIONS!$S$13</f>
        <v>psi</v>
      </c>
      <c r="Q13" s="15">
        <f>IF(UnitsOfMeasure="Metric",ASSUMPTIONS!$O$13,(ASSUMPTIONS!$R$13/14.5038))</f>
        <v>2.0684234476482026</v>
      </c>
      <c r="R13" s="19" t="str">
        <f>ASSUMPTIONS!$P$13</f>
        <v>Bar</v>
      </c>
      <c r="T13" s="15">
        <f>IF(UnitsOfMeasure="Metric",(ASSUMPTIONS!$O$13*14.5038),ASSUMPTIONS!$R$13)</f>
        <v>30</v>
      </c>
      <c r="U13" s="19" t="str">
        <f>ASSUMPTIONS!$S$13</f>
        <v>psi</v>
      </c>
    </row>
    <row r="14" spans="1:21" ht="15.75" customHeight="1" x14ac:dyDescent="0.2">
      <c r="C14" s="13" t="s">
        <v>432</v>
      </c>
      <c r="D14" s="14" t="s">
        <v>388</v>
      </c>
      <c r="E14" s="15">
        <f>'INPUTS-OUTPUTS'!T93</f>
        <v>44.449999999999996</v>
      </c>
      <c r="F14" s="19" t="str">
        <f>'INPUTS-OUTPUTS'!U93</f>
        <v>mm</v>
      </c>
      <c r="H14" s="15">
        <f>'INPUTS-OUTPUTS'!W93</f>
        <v>1.75</v>
      </c>
      <c r="I14" s="19" t="str">
        <f>'INPUTS-OUTPUTS'!X93</f>
        <v>inch</v>
      </c>
      <c r="K14" s="15">
        <f>'INPUTS-OUTPUTS'!AC93</f>
        <v>44.449999999999996</v>
      </c>
      <c r="L14" s="19" t="str">
        <f>'INPUTS-OUTPUTS'!AD93</f>
        <v>mm</v>
      </c>
      <c r="N14" s="15">
        <f>'INPUTS-OUTPUTS'!AF93</f>
        <v>1.75</v>
      </c>
      <c r="O14" s="19" t="str">
        <f>'INPUTS-OUTPUTS'!AG93</f>
        <v>inch</v>
      </c>
      <c r="Q14" s="15">
        <f>'INPUTS-OUTPUTS'!AL93</f>
        <v>0</v>
      </c>
      <c r="R14" s="19" t="str">
        <f>'INPUTS-OUTPUTS'!AM93</f>
        <v>mm</v>
      </c>
      <c r="T14" s="15">
        <f>'INPUTS-OUTPUTS'!AO93</f>
        <v>0</v>
      </c>
      <c r="U14" s="19" t="str">
        <f>'INPUTS-OUTPUTS'!AP93</f>
        <v>inch</v>
      </c>
    </row>
    <row r="15" spans="1:21" ht="15.75" customHeight="1" x14ac:dyDescent="0.2">
      <c r="C15" s="13" t="s">
        <v>433</v>
      </c>
      <c r="D15" s="14" t="s">
        <v>438</v>
      </c>
      <c r="E15" s="15">
        <f>IF(UnitsOfMeasure="Metric",E14+ASSUMPTIONS!$O$23,E14+(ASSUMPTIONS!$R$23*25.4))</f>
        <v>57.149999999999991</v>
      </c>
      <c r="F15" s="19" t="str">
        <f>ASSUMPTIONS!$P$23</f>
        <v>mm</v>
      </c>
      <c r="H15" s="15">
        <f>IF(UnitsOfMeasure="Metric",H14+(ASSUMPTIONS!$O$23/25.4),H14+ASSUMPTIONS!$R$23)</f>
        <v>2.25</v>
      </c>
      <c r="I15" s="19" t="str">
        <f>ASSUMPTIONS!$S$23</f>
        <v>inch</v>
      </c>
      <c r="K15" s="15">
        <f>IF(UnitsOfMeasure="Metric",K14+ASSUMPTIONS!$O$23,K14+(ASSUMPTIONS!$R$23*25.4))</f>
        <v>57.149999999999991</v>
      </c>
      <c r="L15" s="19" t="str">
        <f>ASSUMPTIONS!$P$23</f>
        <v>mm</v>
      </c>
      <c r="N15" s="15">
        <f>IF(UnitsOfMeasure="Metric",N14+(ASSUMPTIONS!$O$23/25.4),N14+ASSUMPTIONS!$R$23)</f>
        <v>2.25</v>
      </c>
      <c r="O15" s="19" t="str">
        <f>ASSUMPTIONS!$S$23</f>
        <v>inch</v>
      </c>
      <c r="Q15" s="15">
        <f>IF(UnitsOfMeasure="Metric",Q14+ASSUMPTIONS!$O$23,Q14+(ASSUMPTIONS!$R$23*25.4))</f>
        <v>12.7</v>
      </c>
      <c r="R15" s="19" t="str">
        <f>ASSUMPTIONS!$P$23</f>
        <v>mm</v>
      </c>
      <c r="T15" s="15">
        <f>IF(UnitsOfMeasure="Metric",T14+(ASSUMPTIONS!$O$23/25.4),T14+ASSUMPTIONS!$R$23)</f>
        <v>0.5</v>
      </c>
      <c r="U15" s="19" t="str">
        <f>ASSUMPTIONS!$S$23</f>
        <v>inch</v>
      </c>
    </row>
    <row r="16" spans="1:21" ht="15.75" customHeight="1" x14ac:dyDescent="0.2">
      <c r="C16" s="13" t="s">
        <v>340</v>
      </c>
      <c r="D16" s="14" t="s">
        <v>341</v>
      </c>
      <c r="E16" s="15">
        <f>ASSUMPTIONS!$K$15</f>
        <v>0.1</v>
      </c>
      <c r="F16" s="19" t="s">
        <v>256</v>
      </c>
      <c r="H16" s="15">
        <f>ASSUMPTIONS!$K$15</f>
        <v>0.1</v>
      </c>
      <c r="I16" s="19" t="s">
        <v>256</v>
      </c>
      <c r="K16" s="15">
        <f>ASSUMPTIONS!$K$15</f>
        <v>0.1</v>
      </c>
      <c r="L16" s="19" t="s">
        <v>256</v>
      </c>
      <c r="N16" s="15">
        <f>ASSUMPTIONS!$K$15</f>
        <v>0.1</v>
      </c>
      <c r="O16" s="19" t="s">
        <v>256</v>
      </c>
      <c r="Q16" s="15">
        <f>ASSUMPTIONS!$K$15</f>
        <v>0.1</v>
      </c>
      <c r="R16" s="19" t="s">
        <v>256</v>
      </c>
      <c r="T16" s="15">
        <f>ASSUMPTIONS!$K$15</f>
        <v>0.1</v>
      </c>
      <c r="U16" s="19" t="s">
        <v>256</v>
      </c>
    </row>
    <row r="17" spans="2:21" ht="15.75" customHeight="1" x14ac:dyDescent="0.2">
      <c r="C17" s="13" t="s">
        <v>434</v>
      </c>
      <c r="D17" s="14" t="s">
        <v>439</v>
      </c>
      <c r="E17" s="18">
        <f>IF(UnitsOfMeasure="Metric",ASSUMPTIONS!$O$17,ASSUMPTIONS!$R$17*25.4)</f>
        <v>5.08</v>
      </c>
      <c r="F17" s="19" t="str">
        <f>ASSUMPTIONS!$P$17</f>
        <v>mm</v>
      </c>
      <c r="H17" s="18">
        <f>IF(UnitsOfMeasure="Metric",ASSUMPTIONS!$O$17/25.4,ASSUMPTIONS!$R$17)</f>
        <v>0.2</v>
      </c>
      <c r="I17" s="19" t="str">
        <f>ASSUMPTIONS!$S$17</f>
        <v>inch</v>
      </c>
      <c r="K17" s="18">
        <f>IF(UnitsOfMeasure="Metric",ASSUMPTIONS!$O$17,ASSUMPTIONS!$R$17*25.4)</f>
        <v>5.08</v>
      </c>
      <c r="L17" s="19" t="str">
        <f>ASSUMPTIONS!$P$17</f>
        <v>mm</v>
      </c>
      <c r="N17" s="18">
        <f>IF(UnitsOfMeasure="Metric",ASSUMPTIONS!$O$17/25.4,ASSUMPTIONS!$R$17)</f>
        <v>0.2</v>
      </c>
      <c r="O17" s="19" t="str">
        <f>ASSUMPTIONS!$S$17</f>
        <v>inch</v>
      </c>
      <c r="Q17" s="18">
        <f>IF(UnitsOfMeasure="Metric",ASSUMPTIONS!$O$17,ASSUMPTIONS!$R$17*25.4)</f>
        <v>5.08</v>
      </c>
      <c r="R17" s="19" t="str">
        <f>ASSUMPTIONS!$P$17</f>
        <v>mm</v>
      </c>
      <c r="T17" s="18">
        <f>IF(UnitsOfMeasure="Metric",ASSUMPTIONS!$O$17/25.4,ASSUMPTIONS!$R$17)</f>
        <v>0.2</v>
      </c>
      <c r="U17" s="19" t="str">
        <f>ASSUMPTIONS!$S$17</f>
        <v>inch</v>
      </c>
    </row>
    <row r="18" spans="2:21" ht="15.75" customHeight="1" x14ac:dyDescent="0.2">
      <c r="C18" s="13" t="s">
        <v>435</v>
      </c>
      <c r="D18" s="14" t="s">
        <v>199</v>
      </c>
      <c r="E18" s="18">
        <f>'INPUTS-OUTPUTS'!T91</f>
        <v>1750</v>
      </c>
      <c r="F18" s="19" t="str">
        <f>'INPUTS-OUTPUTS'!U91</f>
        <v>RPM</v>
      </c>
      <c r="H18" s="18">
        <f>'INPUTS-OUTPUTS'!W91</f>
        <v>1750</v>
      </c>
      <c r="I18" s="19" t="str">
        <f>'INPUTS-OUTPUTS'!X91</f>
        <v>RPM</v>
      </c>
      <c r="K18" s="18">
        <f>'INPUTS-OUTPUTS'!AC91</f>
        <v>1750</v>
      </c>
      <c r="L18" s="19" t="str">
        <f>'INPUTS-OUTPUTS'!AD91</f>
        <v>RPM</v>
      </c>
      <c r="N18" s="18">
        <f>'INPUTS-OUTPUTS'!AF91</f>
        <v>1750</v>
      </c>
      <c r="O18" s="19" t="str">
        <f>'INPUTS-OUTPUTS'!AG91</f>
        <v>RPM</v>
      </c>
      <c r="Q18" s="18">
        <f>'INPUTS-OUTPUTS'!AL91</f>
        <v>0</v>
      </c>
      <c r="R18" s="19" t="str">
        <f>'INPUTS-OUTPUTS'!AM91</f>
        <v>RPM</v>
      </c>
      <c r="T18" s="18">
        <f>'INPUTS-OUTPUTS'!AO91</f>
        <v>0</v>
      </c>
      <c r="U18" s="19" t="str">
        <f>'INPUTS-OUTPUTS'!AP91</f>
        <v>RPM</v>
      </c>
    </row>
    <row r="20" spans="2:21" ht="24.75" customHeight="1" x14ac:dyDescent="0.2">
      <c r="B20" s="4" t="s">
        <v>119</v>
      </c>
      <c r="E20" s="5" t="s">
        <v>192</v>
      </c>
      <c r="F20" s="6"/>
      <c r="G20" s="7"/>
      <c r="H20" s="5" t="s">
        <v>193</v>
      </c>
      <c r="I20" s="6"/>
      <c r="K20" s="5" t="s">
        <v>192</v>
      </c>
      <c r="L20" s="6"/>
      <c r="M20" s="7"/>
      <c r="N20" s="5" t="s">
        <v>193</v>
      </c>
      <c r="O20" s="6"/>
      <c r="Q20" s="5" t="s">
        <v>192</v>
      </c>
      <c r="R20" s="6"/>
      <c r="S20" s="7"/>
      <c r="T20" s="5" t="s">
        <v>193</v>
      </c>
      <c r="U20" s="6"/>
    </row>
    <row r="21" spans="2:21" ht="16.5" customHeight="1" x14ac:dyDescent="0.2">
      <c r="C21" s="13" t="s">
        <v>214</v>
      </c>
      <c r="D21" s="14" t="s">
        <v>390</v>
      </c>
      <c r="E21" s="15">
        <f>'INPUTS-OUTPUTS'!T117</f>
        <v>0</v>
      </c>
      <c r="F21" s="19" t="str">
        <f>'INPUTS-OUTPUTS'!U117</f>
        <v>barg</v>
      </c>
      <c r="H21" s="16">
        <f>'INPUTS-OUTPUTS'!W117</f>
        <v>0</v>
      </c>
      <c r="I21" s="19" t="str">
        <f>'INPUTS-OUTPUTS'!X117</f>
        <v>psig</v>
      </c>
      <c r="K21" s="15">
        <f>'INPUTS-OUTPUTS'!AC117</f>
        <v>0</v>
      </c>
      <c r="L21" s="19" t="str">
        <f>'INPUTS-OUTPUTS'!AD117</f>
        <v>barg</v>
      </c>
      <c r="N21" s="16">
        <f>'INPUTS-OUTPUTS'!AF117</f>
        <v>0</v>
      </c>
      <c r="O21" s="19" t="str">
        <f>'INPUTS-OUTPUTS'!AG117</f>
        <v>psig</v>
      </c>
      <c r="Q21" s="15">
        <f>'INPUTS-OUTPUTS'!AL117</f>
        <v>3.4473724127470042</v>
      </c>
      <c r="R21" s="19" t="str">
        <f>'INPUTS-OUTPUTS'!AM117</f>
        <v>barg</v>
      </c>
      <c r="T21" s="16">
        <f>'INPUTS-OUTPUTS'!AO117</f>
        <v>50</v>
      </c>
      <c r="U21" s="19" t="str">
        <f>'INPUTS-OUTPUTS'!AP117</f>
        <v>psig</v>
      </c>
    </row>
    <row r="22" spans="2:21" ht="16.5" customHeight="1" x14ac:dyDescent="0.2">
      <c r="C22" s="13" t="s">
        <v>440</v>
      </c>
      <c r="D22" s="14" t="s">
        <v>388</v>
      </c>
      <c r="E22" s="15">
        <f>'INPUTS-OUTPUTS'!T115</f>
        <v>0</v>
      </c>
      <c r="F22" s="19" t="str">
        <f>'INPUTS-OUTPUTS'!U115</f>
        <v>mm</v>
      </c>
      <c r="H22" s="17">
        <f>'INPUTS-OUTPUTS'!W115</f>
        <v>0</v>
      </c>
      <c r="I22" s="19" t="str">
        <f>'INPUTS-OUTPUTS'!X115</f>
        <v>inch</v>
      </c>
      <c r="K22" s="15">
        <f>'INPUTS-OUTPUTS'!AC115</f>
        <v>0</v>
      </c>
      <c r="L22" s="19" t="str">
        <f>'INPUTS-OUTPUTS'!AD115</f>
        <v>mm</v>
      </c>
      <c r="N22" s="17">
        <f>'INPUTS-OUTPUTS'!AF115</f>
        <v>0</v>
      </c>
      <c r="O22" s="19" t="str">
        <f>'INPUTS-OUTPUTS'!AG115</f>
        <v>inch</v>
      </c>
      <c r="Q22" s="15">
        <f>'INPUTS-OUTPUTS'!AL115</f>
        <v>44.449999999999996</v>
      </c>
      <c r="R22" s="19" t="str">
        <f>'INPUTS-OUTPUTS'!AM115</f>
        <v>mm</v>
      </c>
      <c r="T22" s="17">
        <f>'INPUTS-OUTPUTS'!AO115</f>
        <v>1.75</v>
      </c>
      <c r="U22" s="19" t="str">
        <f>'INPUTS-OUTPUTS'!AP115</f>
        <v>inch</v>
      </c>
    </row>
    <row r="23" spans="2:21" ht="16.5" customHeight="1" x14ac:dyDescent="0.2">
      <c r="C23" s="13" t="s">
        <v>218</v>
      </c>
      <c r="D23" s="14" t="s">
        <v>389</v>
      </c>
      <c r="E23" s="15">
        <f>'INPUTS-OUTPUTS'!T131</f>
        <v>0</v>
      </c>
      <c r="F23" s="19" t="str">
        <f>'INPUTS-OUTPUTS'!U131</f>
        <v>mm</v>
      </c>
      <c r="H23" s="17">
        <f>'INPUTS-OUTPUTS'!W131</f>
        <v>0</v>
      </c>
      <c r="I23" s="19" t="str">
        <f>'INPUTS-OUTPUTS'!X131</f>
        <v>inch</v>
      </c>
      <c r="K23" s="15">
        <f>'INPUTS-OUTPUTS'!AC131</f>
        <v>0</v>
      </c>
      <c r="L23" s="19" t="str">
        <f>'INPUTS-OUTPUTS'!AD131</f>
        <v>mm</v>
      </c>
      <c r="N23" s="17">
        <f>'INPUTS-OUTPUTS'!AF131</f>
        <v>0</v>
      </c>
      <c r="O23" s="19" t="str">
        <f>'INPUTS-OUTPUTS'!AG131</f>
        <v>inch</v>
      </c>
      <c r="Q23" s="15">
        <f>'INPUTS-OUTPUTS'!AL131</f>
        <v>44.449999999999996</v>
      </c>
      <c r="R23" s="19" t="str">
        <f>'INPUTS-OUTPUTS'!AM131</f>
        <v>mm</v>
      </c>
      <c r="T23" s="17">
        <f>'INPUTS-OUTPUTS'!AO131</f>
        <v>1.75</v>
      </c>
      <c r="U23" s="19" t="str">
        <f>'INPUTS-OUTPUTS'!AP131</f>
        <v>inch</v>
      </c>
    </row>
    <row r="24" spans="2:21" ht="16.5" customHeight="1" x14ac:dyDescent="0.2">
      <c r="C24" s="13" t="s">
        <v>435</v>
      </c>
      <c r="D24" s="14" t="s">
        <v>199</v>
      </c>
      <c r="E24" s="18">
        <f>'INPUTS-OUTPUTS'!T113</f>
        <v>0</v>
      </c>
      <c r="F24" s="19" t="str">
        <f>'INPUTS-OUTPUTS'!U113</f>
        <v>RPM</v>
      </c>
      <c r="H24" s="18">
        <f>'INPUTS-OUTPUTS'!W113</f>
        <v>0</v>
      </c>
      <c r="I24" s="19" t="str">
        <f>'INPUTS-OUTPUTS'!X113</f>
        <v>RPM</v>
      </c>
      <c r="K24" s="18">
        <f>'INPUTS-OUTPUTS'!AC113</f>
        <v>0</v>
      </c>
      <c r="L24" s="19" t="str">
        <f>'INPUTS-OUTPUTS'!AD113</f>
        <v>RPM</v>
      </c>
      <c r="N24" s="18">
        <f>'INPUTS-OUTPUTS'!AF113</f>
        <v>0</v>
      </c>
      <c r="O24" s="19" t="str">
        <f>'INPUTS-OUTPUTS'!AG113</f>
        <v>RPM</v>
      </c>
      <c r="Q24" s="18">
        <f>'INPUTS-OUTPUTS'!AL113</f>
        <v>1750</v>
      </c>
      <c r="R24" s="19" t="str">
        <f>'INPUTS-OUTPUTS'!AM113</f>
        <v>RPM</v>
      </c>
      <c r="T24" s="18">
        <f>'INPUTS-OUTPUTS'!AO113</f>
        <v>1750</v>
      </c>
      <c r="U24" s="19" t="str">
        <f>'INPUTS-OUTPUTS'!AP113</f>
        <v>RPM</v>
      </c>
    </row>
    <row r="25" spans="2:21" ht="16.5" customHeight="1" x14ac:dyDescent="0.2">
      <c r="C25" s="13" t="s">
        <v>217</v>
      </c>
      <c r="D25" s="8" t="s">
        <v>441</v>
      </c>
      <c r="E25" s="15">
        <f>'INPUTS-OUTPUTS'!T129</f>
        <v>0</v>
      </c>
      <c r="F25" s="19" t="str">
        <f>'INPUTS-OUTPUTS'!U129</f>
        <v>-</v>
      </c>
      <c r="H25" s="15">
        <f>'INPUTS-OUTPUTS'!W129</f>
        <v>0</v>
      </c>
      <c r="I25" s="19" t="str">
        <f>'INPUTS-OUTPUTS'!X129</f>
        <v>-</v>
      </c>
      <c r="K25" s="15">
        <f>'INPUTS-OUTPUTS'!AC129</f>
        <v>0</v>
      </c>
      <c r="L25" s="19" t="str">
        <f>'INPUTS-OUTPUTS'!AD129</f>
        <v>-</v>
      </c>
      <c r="N25" s="15">
        <f>'INPUTS-OUTPUTS'!AF129</f>
        <v>0</v>
      </c>
      <c r="O25" s="19" t="str">
        <f>'INPUTS-OUTPUTS'!AG129</f>
        <v>-</v>
      </c>
      <c r="Q25" s="15">
        <f>'INPUTS-OUTPUTS'!AL129</f>
        <v>0.17</v>
      </c>
      <c r="R25" s="19" t="str">
        <f>'INPUTS-OUTPUTS'!AM129</f>
        <v>-</v>
      </c>
      <c r="T25" s="15">
        <f>'INPUTS-OUTPUTS'!AO129</f>
        <v>0.17</v>
      </c>
      <c r="U25" s="19" t="str">
        <f>'INPUTS-OUTPUTS'!AP129</f>
        <v>-</v>
      </c>
    </row>
    <row r="27" spans="2:21" ht="15" thickBot="1" x14ac:dyDescent="0.25">
      <c r="B27" s="25"/>
      <c r="C27" s="25"/>
      <c r="D27" s="25"/>
      <c r="E27" s="25"/>
      <c r="F27" s="25"/>
      <c r="G27" s="25"/>
      <c r="H27" s="25"/>
      <c r="I27" s="26"/>
      <c r="J27" s="25"/>
      <c r="K27" s="25"/>
      <c r="L27" s="25"/>
      <c r="M27" s="25"/>
      <c r="N27" s="25"/>
      <c r="O27" s="25"/>
      <c r="P27" s="25"/>
      <c r="Q27" s="25"/>
      <c r="R27" s="25"/>
      <c r="S27" s="25"/>
      <c r="T27" s="25"/>
      <c r="U27" s="25"/>
    </row>
    <row r="28" spans="2:21" ht="25.5" customHeight="1" x14ac:dyDescent="0.2">
      <c r="B28" s="4" t="s">
        <v>448</v>
      </c>
      <c r="F28" s="13" t="s">
        <v>430</v>
      </c>
      <c r="I28" s="3"/>
    </row>
    <row r="29" spans="2:21" x14ac:dyDescent="0.2">
      <c r="C29" s="13" t="s">
        <v>446</v>
      </c>
    </row>
    <row r="30" spans="2:21" ht="16.5" customHeight="1" x14ac:dyDescent="0.2">
      <c r="C30" s="20" t="s">
        <v>82</v>
      </c>
      <c r="E30" s="17">
        <f t="shared" ref="E30:E36" si="0">(E$9*(E$11-E$12)+E$13)*E$15^2*PI()^2*E$16*E$17*E$18/(60*10000000)</f>
        <v>0.14818813652340324</v>
      </c>
      <c r="F30" s="19" t="s">
        <v>245</v>
      </c>
      <c r="H30" s="17">
        <f>(H$9*(H$11-H$12)+H$13)*H$15^2*PI()^2*H$16*H$17*H$18/(12*33000)</f>
        <v>0.19872392384295692</v>
      </c>
      <c r="I30" s="19" t="s">
        <v>444</v>
      </c>
      <c r="K30" s="17">
        <f t="shared" ref="K30:K36" si="1">(K$9*(K$11-K$12)+K$13)*K$15^2*PI()^2*K$16*K$17*K$18/(60*10000000)</f>
        <v>0.14818813652340324</v>
      </c>
      <c r="L30" s="19" t="s">
        <v>245</v>
      </c>
      <c r="N30" s="17">
        <f>(N$9*(N$11-N$12)+N$13)*N$15^2*PI()^2*N$16*N$17*N$18/(12*33000)</f>
        <v>0.19872392384295692</v>
      </c>
      <c r="O30" s="19" t="s">
        <v>444</v>
      </c>
      <c r="Q30" s="17">
        <f t="shared" ref="Q30:Q36" si="2">(Q$9*(Q$11-Q$12)+Q$13)*Q$15^2*PI()^2*Q$16*Q$17*Q$18/(60*10000000)</f>
        <v>0</v>
      </c>
      <c r="R30" s="19" t="s">
        <v>245</v>
      </c>
      <c r="T30" s="17">
        <f>(T$9*(T$11-T$12)+T$13)*T$15^2*PI()^2*T$16*T$17*T$18/(12*33000)</f>
        <v>0</v>
      </c>
      <c r="U30" s="19" t="s">
        <v>444</v>
      </c>
    </row>
    <row r="31" spans="2:21" ht="16.5" customHeight="1" x14ac:dyDescent="0.2">
      <c r="C31" s="20" t="s">
        <v>85</v>
      </c>
      <c r="E31" s="17">
        <f t="shared" si="0"/>
        <v>0.14818813652340324</v>
      </c>
      <c r="F31" s="19" t="s">
        <v>245</v>
      </c>
      <c r="H31" s="17">
        <f t="shared" ref="H31:H36" si="3">(H$9*(H$11-H$12)+H$13)*H$15^2*PI()^2*H$16*H$17*H$18/(12*33000)</f>
        <v>0.19872392384295692</v>
      </c>
      <c r="I31" s="19" t="s">
        <v>444</v>
      </c>
      <c r="K31" s="17">
        <f t="shared" si="1"/>
        <v>0.14818813652340324</v>
      </c>
      <c r="L31" s="19" t="s">
        <v>245</v>
      </c>
      <c r="N31" s="17">
        <f t="shared" ref="N31:N36" si="4">(N$9*(N$11-N$12)+N$13)*N$15^2*PI()^2*N$16*N$17*N$18/(12*33000)</f>
        <v>0.19872392384295692</v>
      </c>
      <c r="O31" s="19" t="s">
        <v>444</v>
      </c>
      <c r="Q31" s="17">
        <f t="shared" si="2"/>
        <v>0</v>
      </c>
      <c r="R31" s="19" t="s">
        <v>245</v>
      </c>
      <c r="T31" s="17">
        <f t="shared" ref="T31:T36" si="5">(T$9*(T$11-T$12)+T$13)*T$15^2*PI()^2*T$16*T$17*T$18/(12*33000)</f>
        <v>0</v>
      </c>
      <c r="U31" s="19" t="s">
        <v>444</v>
      </c>
    </row>
    <row r="32" spans="2:21" ht="16.5" customHeight="1" x14ac:dyDescent="0.2">
      <c r="C32" s="20" t="s">
        <v>88</v>
      </c>
      <c r="E32" s="17">
        <f t="shared" si="0"/>
        <v>0.14818813652340324</v>
      </c>
      <c r="F32" s="19" t="s">
        <v>245</v>
      </c>
      <c r="H32" s="17">
        <f t="shared" si="3"/>
        <v>0.19872392384295692</v>
      </c>
      <c r="I32" s="19" t="s">
        <v>444</v>
      </c>
      <c r="K32" s="17">
        <f t="shared" si="1"/>
        <v>0.14818813652340324</v>
      </c>
      <c r="L32" s="19" t="s">
        <v>245</v>
      </c>
      <c r="N32" s="17">
        <f t="shared" si="4"/>
        <v>0.19872392384295692</v>
      </c>
      <c r="O32" s="19" t="s">
        <v>444</v>
      </c>
      <c r="Q32" s="17">
        <f t="shared" si="2"/>
        <v>0</v>
      </c>
      <c r="R32" s="19" t="s">
        <v>245</v>
      </c>
      <c r="T32" s="17">
        <f t="shared" si="5"/>
        <v>0</v>
      </c>
      <c r="U32" s="19" t="s">
        <v>444</v>
      </c>
    </row>
    <row r="33" spans="2:21" ht="16.5" customHeight="1" x14ac:dyDescent="0.2">
      <c r="C33" s="20" t="s">
        <v>91</v>
      </c>
      <c r="E33" s="17">
        <f t="shared" si="0"/>
        <v>0.14818813652340324</v>
      </c>
      <c r="F33" s="19" t="s">
        <v>245</v>
      </c>
      <c r="H33" s="17">
        <f t="shared" si="3"/>
        <v>0.19872392384295692</v>
      </c>
      <c r="I33" s="19" t="s">
        <v>444</v>
      </c>
      <c r="K33" s="17">
        <f t="shared" si="1"/>
        <v>0.14818813652340324</v>
      </c>
      <c r="L33" s="19" t="s">
        <v>245</v>
      </c>
      <c r="N33" s="17">
        <f t="shared" si="4"/>
        <v>0.19872392384295692</v>
      </c>
      <c r="O33" s="19" t="s">
        <v>444</v>
      </c>
      <c r="Q33" s="17">
        <f t="shared" si="2"/>
        <v>0</v>
      </c>
      <c r="R33" s="19" t="s">
        <v>245</v>
      </c>
      <c r="T33" s="17">
        <f t="shared" si="5"/>
        <v>0</v>
      </c>
      <c r="U33" s="19" t="s">
        <v>444</v>
      </c>
    </row>
    <row r="34" spans="2:21" ht="16.5" customHeight="1" x14ac:dyDescent="0.2">
      <c r="C34" s="20" t="s">
        <v>93</v>
      </c>
      <c r="E34" s="17">
        <f t="shared" si="0"/>
        <v>0.14818813652340324</v>
      </c>
      <c r="F34" s="19" t="s">
        <v>245</v>
      </c>
      <c r="H34" s="17">
        <f t="shared" si="3"/>
        <v>0.19872392384295692</v>
      </c>
      <c r="I34" s="19" t="s">
        <v>444</v>
      </c>
      <c r="K34" s="17">
        <f t="shared" si="1"/>
        <v>0.14818813652340324</v>
      </c>
      <c r="L34" s="19" t="s">
        <v>245</v>
      </c>
      <c r="N34" s="17">
        <f t="shared" si="4"/>
        <v>0.19872392384295692</v>
      </c>
      <c r="O34" s="19" t="s">
        <v>444</v>
      </c>
      <c r="Q34" s="17">
        <f t="shared" si="2"/>
        <v>0</v>
      </c>
      <c r="R34" s="19" t="s">
        <v>245</v>
      </c>
      <c r="T34" s="17">
        <f t="shared" si="5"/>
        <v>0</v>
      </c>
      <c r="U34" s="19" t="s">
        <v>444</v>
      </c>
    </row>
    <row r="35" spans="2:21" ht="16.5" customHeight="1" x14ac:dyDescent="0.2">
      <c r="C35" s="20" t="s">
        <v>96</v>
      </c>
      <c r="E35" s="17">
        <f t="shared" si="0"/>
        <v>0.14818813652340324</v>
      </c>
      <c r="F35" s="19" t="s">
        <v>245</v>
      </c>
      <c r="H35" s="17">
        <f>(H$9*(H$11-H$12)+H$13)*H$15^2*PI()^2*H$16*H$17*H$18/(12*33000)</f>
        <v>0.19872392384295692</v>
      </c>
      <c r="I35" s="19" t="s">
        <v>444</v>
      </c>
      <c r="K35" s="17">
        <f t="shared" si="1"/>
        <v>0.14818813652340324</v>
      </c>
      <c r="L35" s="19" t="s">
        <v>245</v>
      </c>
      <c r="N35" s="17">
        <f>(N$9*(N$11-N$12)+N$13)*N$15^2*PI()^2*N$16*N$17*N$18/(12*33000)</f>
        <v>0.19872392384295692</v>
      </c>
      <c r="O35" s="19" t="s">
        <v>444</v>
      </c>
      <c r="Q35" s="17">
        <f t="shared" si="2"/>
        <v>0</v>
      </c>
      <c r="R35" s="19" t="s">
        <v>245</v>
      </c>
      <c r="T35" s="17">
        <f>(T$9*(T$11-T$12)+T$13)*T$15^2*PI()^2*T$16*T$17*T$18/(12*33000)</f>
        <v>0</v>
      </c>
      <c r="U35" s="19" t="s">
        <v>444</v>
      </c>
    </row>
    <row r="36" spans="2:21" ht="16.5" customHeight="1" x14ac:dyDescent="0.2">
      <c r="C36" s="20" t="s">
        <v>98</v>
      </c>
      <c r="E36" s="17">
        <f t="shared" si="0"/>
        <v>0.14818813652340324</v>
      </c>
      <c r="F36" s="19" t="s">
        <v>245</v>
      </c>
      <c r="H36" s="17">
        <f t="shared" si="3"/>
        <v>0.19872392384295692</v>
      </c>
      <c r="I36" s="19" t="s">
        <v>444</v>
      </c>
      <c r="K36" s="17">
        <f t="shared" si="1"/>
        <v>0.14818813652340324</v>
      </c>
      <c r="L36" s="19" t="s">
        <v>245</v>
      </c>
      <c r="N36" s="17">
        <f t="shared" si="4"/>
        <v>0.19872392384295692</v>
      </c>
      <c r="O36" s="19" t="s">
        <v>444</v>
      </c>
      <c r="Q36" s="17">
        <f t="shared" si="2"/>
        <v>0</v>
      </c>
      <c r="R36" s="19" t="s">
        <v>245</v>
      </c>
      <c r="T36" s="17">
        <f t="shared" si="5"/>
        <v>0</v>
      </c>
      <c r="U36" s="19" t="s">
        <v>444</v>
      </c>
    </row>
    <row r="37" spans="2:21" ht="16.5" customHeight="1" x14ac:dyDescent="0.2">
      <c r="C37" s="20" t="s">
        <v>99</v>
      </c>
      <c r="E37" s="17">
        <f>(E$9*(E$11-E$12)+2*E$13)*E$15^2*PI()^2*E$16*E$17*E$18/(60*10000000)</f>
        <v>0.24698022753900534</v>
      </c>
      <c r="F37" s="19" t="s">
        <v>245</v>
      </c>
      <c r="H37" s="17">
        <f>(H$9*(H$11-H$12)+2*H$13)*H$15^2*PI()^2*H$16*H$17*H$18/(12*33000)</f>
        <v>0.33120653973826159</v>
      </c>
      <c r="I37" s="19" t="s">
        <v>444</v>
      </c>
      <c r="K37" s="17">
        <f>(K$9*(K$11-K$12)+2*K$13)*K$15^2*PI()^2*K$16*K$17*K$18/(60*10000000)</f>
        <v>0.24698022753900534</v>
      </c>
      <c r="L37" s="19" t="s">
        <v>245</v>
      </c>
      <c r="N37" s="17">
        <f>(N$9*(N$11-N$12)+2*N$13)*N$15^2*PI()^2*N$16*N$17*N$18/(12*33000)</f>
        <v>0.33120653973826159</v>
      </c>
      <c r="O37" s="19" t="s">
        <v>444</v>
      </c>
      <c r="Q37" s="17">
        <f>(Q$9*(Q$11-Q$12)+2*Q$13)*Q$15^2*PI()^2*Q$16*Q$17*Q$18/(60*10000000)</f>
        <v>0</v>
      </c>
      <c r="R37" s="19" t="s">
        <v>245</v>
      </c>
      <c r="T37" s="17">
        <f>(T$9*(T$11-T$12)+2*T$13)*T$15^2*PI()^2*T$16*T$17*T$18/(12*33000)</f>
        <v>0</v>
      </c>
      <c r="U37" s="19" t="s">
        <v>444</v>
      </c>
    </row>
    <row r="38" spans="2:21" ht="16.5" customHeight="1" x14ac:dyDescent="0.2">
      <c r="C38" s="20" t="s">
        <v>101</v>
      </c>
      <c r="E38" s="17">
        <f>(((E$10-E$9)*(E$11-E$12)+E$13)+(E$10*(E$11-E$12)+E$13))*E$15^2*PI()^2*E$16*E$17*E$18/(60*10000000)</f>
        <v>0.14818813652340324</v>
      </c>
      <c r="F38" s="19" t="s">
        <v>245</v>
      </c>
      <c r="H38" s="17">
        <f>(((H$10-H$9)*(H$11-H$12)+H$13)+(H$10*(H$11-H$12)+H$13))*H$15^2*PI()^2*H$16*H$17*H$18/(12*33000)</f>
        <v>0.19872392384295692</v>
      </c>
      <c r="I38" s="19" t="s">
        <v>444</v>
      </c>
      <c r="K38" s="17">
        <f>(((K$10-K$9)*(K$11-K$12)+K$13)+(K$10*(K$11-K$12)+K$13))*K$15^2*PI()^2*K$16*K$17*K$18/(60*10000000)</f>
        <v>0.14818813652340324</v>
      </c>
      <c r="L38" s="19" t="s">
        <v>245</v>
      </c>
      <c r="N38" s="17">
        <f>(((N$10-N$9)*(N$11-N$12)+N$13)+(N$10*(N$11-N$12)+N$13))*N$15^2*PI()^2*N$16*N$17*N$18/(12*33000)</f>
        <v>0.19872392384295692</v>
      </c>
      <c r="O38" s="19" t="s">
        <v>444</v>
      </c>
      <c r="Q38" s="17">
        <f>(((Q$10-Q$9)*(Q$11-Q$12)+Q$13)+(Q$10*(Q$11-Q$12)+Q$13))*Q$15^2*PI()^2*Q$16*Q$17*Q$18/(60*10000000)</f>
        <v>0</v>
      </c>
      <c r="R38" s="19" t="s">
        <v>245</v>
      </c>
      <c r="T38" s="17">
        <f>(((T$10-T$9)*(T$11-T$12)+T$13)+(T$10*(T$11-T$12)+T$13))*T$15^2*PI()^2*T$16*T$17*T$18/(12*33000)</f>
        <v>0</v>
      </c>
      <c r="U38" s="19" t="s">
        <v>444</v>
      </c>
    </row>
    <row r="39" spans="2:21" ht="16.5" customHeight="1" x14ac:dyDescent="0.2">
      <c r="C39" s="20" t="s">
        <v>103</v>
      </c>
      <c r="E39" s="17">
        <f>(((E$10-E$9)*(E$11-E$12)+E$13)+(E$10*(E$11-E$12)+E$13))*E$15^2*PI()^2*E$16*E$17*E$18/(60*10000000)</f>
        <v>0.14818813652340324</v>
      </c>
      <c r="F39" s="19" t="s">
        <v>245</v>
      </c>
      <c r="H39" s="17">
        <f>(((H$10-H$9)*(H$11-H$12)+H$13)+(H$10*(H$11-H$12)+H$13))*H$15^2*PI()^2*H$16*H$17*H$18/(12*33000)</f>
        <v>0.19872392384295692</v>
      </c>
      <c r="I39" s="19" t="s">
        <v>444</v>
      </c>
      <c r="K39" s="17">
        <f>(((K$10-K$9)*(K$11-K$12)+K$13)+(K$10*(K$11-K$12)+K$13))*K$15^2*PI()^2*K$16*K$17*K$18/(60*10000000)</f>
        <v>0.14818813652340324</v>
      </c>
      <c r="L39" s="19" t="s">
        <v>245</v>
      </c>
      <c r="N39" s="17">
        <f>(((N$10-N$9)*(N$11-N$12)+N$13)+(N$10*(N$11-N$12)+N$13))*N$15^2*PI()^2*N$16*N$17*N$18/(12*33000)</f>
        <v>0.19872392384295692</v>
      </c>
      <c r="O39" s="19" t="s">
        <v>444</v>
      </c>
      <c r="Q39" s="17">
        <f>(((Q$10-Q$9)*(Q$11-Q$12)+Q$13)+(Q$10*(Q$11-Q$12)+Q$13))*Q$15^2*PI()^2*Q$16*Q$17*Q$18/(60*10000000)</f>
        <v>0</v>
      </c>
      <c r="R39" s="19" t="s">
        <v>245</v>
      </c>
      <c r="T39" s="17">
        <f>(((T$10-T$9)*(T$11-T$12)+T$13)+(T$10*(T$11-T$12)+T$13))*T$15^2*PI()^2*T$16*T$17*T$18/(12*33000)</f>
        <v>0</v>
      </c>
      <c r="U39" s="19" t="s">
        <v>444</v>
      </c>
    </row>
    <row r="40" spans="2:21" ht="16.5" customHeight="1" x14ac:dyDescent="0.2">
      <c r="C40" s="20" t="s">
        <v>105</v>
      </c>
      <c r="E40" s="17">
        <f t="shared" ref="E40:E45" si="6">(((E$9-E$10)*(E$11-E$12)+E$13)+(E$10*(E$11-E$12)+E$13))*E$15^2*PI()^2*E$16*E$17*E$18/(60*10000000)</f>
        <v>0.24698022753900534</v>
      </c>
      <c r="F40" s="19" t="s">
        <v>245</v>
      </c>
      <c r="H40" s="17">
        <f t="shared" ref="H40:H45" si="7">(((H$9-H$10)*(H$11-H$12)+H$13)+(H$10*(H$11-H$12)+H$13))*H$15^2*PI()^2*H$16*H$17*H$18/(12*33000)</f>
        <v>0.33120653973826159</v>
      </c>
      <c r="I40" s="19" t="s">
        <v>444</v>
      </c>
      <c r="K40" s="17">
        <f t="shared" ref="K40:K45" si="8">(((K$9-K$10)*(K$11-K$12)+K$13)+(K$10*(K$11-K$12)+K$13))*K$15^2*PI()^2*K$16*K$17*K$18/(60*10000000)</f>
        <v>0.24698022753900534</v>
      </c>
      <c r="L40" s="19" t="s">
        <v>245</v>
      </c>
      <c r="N40" s="17">
        <f t="shared" ref="N40:N45" si="9">(((N$9-N$10)*(N$11-N$12)+N$13)+(N$10*(N$11-N$12)+N$13))*N$15^2*PI()^2*N$16*N$17*N$18/(12*33000)</f>
        <v>0.33120653973826159</v>
      </c>
      <c r="O40" s="19" t="s">
        <v>444</v>
      </c>
      <c r="Q40" s="17">
        <f t="shared" ref="Q40:Q45" si="10">(((Q$9-Q$10)*(Q$11-Q$12)+Q$13)+(Q$10*(Q$11-Q$12)+Q$13))*Q$15^2*PI()^2*Q$16*Q$17*Q$18/(60*10000000)</f>
        <v>0</v>
      </c>
      <c r="R40" s="19" t="s">
        <v>245</v>
      </c>
      <c r="T40" s="17">
        <f t="shared" ref="T40:T45" si="11">(((T$9-T$10)*(T$11-T$12)+T$13)+(T$10*(T$11-T$12)+T$13))*T$15^2*PI()^2*T$16*T$17*T$18/(12*33000)</f>
        <v>0</v>
      </c>
      <c r="U40" s="19" t="s">
        <v>444</v>
      </c>
    </row>
    <row r="41" spans="2:21" ht="16.5" customHeight="1" x14ac:dyDescent="0.2">
      <c r="C41" s="20" t="s">
        <v>107</v>
      </c>
      <c r="E41" s="17">
        <f t="shared" si="6"/>
        <v>0.24698022753900534</v>
      </c>
      <c r="F41" s="19" t="s">
        <v>245</v>
      </c>
      <c r="H41" s="17">
        <f t="shared" si="7"/>
        <v>0.33120653973826159</v>
      </c>
      <c r="I41" s="19" t="s">
        <v>444</v>
      </c>
      <c r="K41" s="17">
        <f t="shared" si="8"/>
        <v>0.24698022753900534</v>
      </c>
      <c r="L41" s="19" t="s">
        <v>245</v>
      </c>
      <c r="N41" s="17">
        <f t="shared" si="9"/>
        <v>0.33120653973826159</v>
      </c>
      <c r="O41" s="19" t="s">
        <v>444</v>
      </c>
      <c r="Q41" s="17">
        <f t="shared" si="10"/>
        <v>0</v>
      </c>
      <c r="R41" s="19" t="s">
        <v>245</v>
      </c>
      <c r="T41" s="17">
        <f t="shared" si="11"/>
        <v>0</v>
      </c>
      <c r="U41" s="19" t="s">
        <v>444</v>
      </c>
    </row>
    <row r="42" spans="2:21" ht="16.5" customHeight="1" x14ac:dyDescent="0.2">
      <c r="C42" s="20" t="s">
        <v>109</v>
      </c>
      <c r="E42" s="17">
        <f t="shared" si="6"/>
        <v>0.24698022753900534</v>
      </c>
      <c r="F42" s="19" t="s">
        <v>245</v>
      </c>
      <c r="H42" s="17">
        <f t="shared" si="7"/>
        <v>0.33120653973826159</v>
      </c>
      <c r="I42" s="19" t="s">
        <v>444</v>
      </c>
      <c r="K42" s="17">
        <f t="shared" si="8"/>
        <v>0.24698022753900534</v>
      </c>
      <c r="L42" s="19" t="s">
        <v>245</v>
      </c>
      <c r="N42" s="17">
        <f t="shared" si="9"/>
        <v>0.33120653973826159</v>
      </c>
      <c r="O42" s="19" t="s">
        <v>444</v>
      </c>
      <c r="Q42" s="17">
        <f t="shared" si="10"/>
        <v>0</v>
      </c>
      <c r="R42" s="19" t="s">
        <v>245</v>
      </c>
      <c r="T42" s="17">
        <f t="shared" si="11"/>
        <v>0</v>
      </c>
      <c r="U42" s="19" t="s">
        <v>444</v>
      </c>
    </row>
    <row r="43" spans="2:21" ht="16.5" customHeight="1" x14ac:dyDescent="0.2">
      <c r="C43" s="20" t="s">
        <v>111</v>
      </c>
      <c r="E43" s="17">
        <f t="shared" si="6"/>
        <v>0.24698022753900534</v>
      </c>
      <c r="F43" s="19" t="s">
        <v>245</v>
      </c>
      <c r="H43" s="17">
        <f t="shared" si="7"/>
        <v>0.33120653973826159</v>
      </c>
      <c r="I43" s="19" t="s">
        <v>444</v>
      </c>
      <c r="K43" s="17">
        <f t="shared" si="8"/>
        <v>0.24698022753900534</v>
      </c>
      <c r="L43" s="19" t="s">
        <v>245</v>
      </c>
      <c r="N43" s="17">
        <f t="shared" si="9"/>
        <v>0.33120653973826159</v>
      </c>
      <c r="O43" s="19" t="s">
        <v>444</v>
      </c>
      <c r="Q43" s="17">
        <f t="shared" si="10"/>
        <v>0</v>
      </c>
      <c r="R43" s="19" t="s">
        <v>245</v>
      </c>
      <c r="T43" s="17">
        <f t="shared" si="11"/>
        <v>0</v>
      </c>
      <c r="U43" s="19" t="s">
        <v>444</v>
      </c>
    </row>
    <row r="44" spans="2:21" ht="16.5" customHeight="1" x14ac:dyDescent="0.2">
      <c r="C44" s="20" t="s">
        <v>113</v>
      </c>
      <c r="E44" s="17">
        <f t="shared" si="6"/>
        <v>0.24698022753900534</v>
      </c>
      <c r="F44" s="19" t="s">
        <v>245</v>
      </c>
      <c r="H44" s="17">
        <f t="shared" si="7"/>
        <v>0.33120653973826159</v>
      </c>
      <c r="I44" s="19" t="s">
        <v>444</v>
      </c>
      <c r="K44" s="17">
        <f t="shared" si="8"/>
        <v>0.24698022753900534</v>
      </c>
      <c r="L44" s="19" t="s">
        <v>245</v>
      </c>
      <c r="N44" s="17">
        <f t="shared" si="9"/>
        <v>0.33120653973826159</v>
      </c>
      <c r="O44" s="19" t="s">
        <v>444</v>
      </c>
      <c r="Q44" s="17">
        <f t="shared" si="10"/>
        <v>0</v>
      </c>
      <c r="R44" s="19" t="s">
        <v>245</v>
      </c>
      <c r="T44" s="17">
        <f t="shared" si="11"/>
        <v>0</v>
      </c>
      <c r="U44" s="19" t="s">
        <v>444</v>
      </c>
    </row>
    <row r="45" spans="2:21" ht="16.5" customHeight="1" x14ac:dyDescent="0.2">
      <c r="C45" s="20" t="s">
        <v>115</v>
      </c>
      <c r="E45" s="17">
        <f t="shared" si="6"/>
        <v>0.24698022753900534</v>
      </c>
      <c r="F45" s="19" t="s">
        <v>245</v>
      </c>
      <c r="H45" s="17">
        <f t="shared" si="7"/>
        <v>0.33120653973826159</v>
      </c>
      <c r="I45" s="19" t="s">
        <v>444</v>
      </c>
      <c r="K45" s="17">
        <f t="shared" si="8"/>
        <v>0.24698022753900534</v>
      </c>
      <c r="L45" s="19" t="s">
        <v>245</v>
      </c>
      <c r="N45" s="17">
        <f t="shared" si="9"/>
        <v>0.33120653973826159</v>
      </c>
      <c r="O45" s="19" t="s">
        <v>444</v>
      </c>
      <c r="Q45" s="17">
        <f t="shared" si="10"/>
        <v>0</v>
      </c>
      <c r="R45" s="19" t="s">
        <v>245</v>
      </c>
      <c r="T45" s="17">
        <f t="shared" si="11"/>
        <v>0</v>
      </c>
      <c r="U45" s="19" t="s">
        <v>444</v>
      </c>
    </row>
    <row r="46" spans="2:21" ht="16.5" customHeight="1" x14ac:dyDescent="0.2">
      <c r="C46" s="20" t="s">
        <v>117</v>
      </c>
      <c r="E46" s="17">
        <f>0.1*(((E$10-E$9)*(E$11-E$12)+E$13)+(E$10*(E$11-E$12)+E$13))*E$15^2*PI()^2*E$16*E$17*E$18/(60*10000000)</f>
        <v>1.4818813652340323E-2</v>
      </c>
      <c r="F46" s="19" t="s">
        <v>245</v>
      </c>
      <c r="H46" s="17">
        <f>0.1*(((H$10-H$9)*(H$11-H$12)+H$13)+(H$10*(H$11-H$12)+H$13))*H$15^2*PI()^2*H$16*H$17*H$18/(12*33000)</f>
        <v>1.9872392384295692E-2</v>
      </c>
      <c r="I46" s="19" t="s">
        <v>444</v>
      </c>
      <c r="K46" s="17">
        <f>0.1*(((K$10-K$9)*(K$11-K$12)+K$13)+(K$10*(K$11-K$12)+K$13))*K$15^2*PI()^2*K$16*K$17*K$18/(60*10000000)</f>
        <v>1.4818813652340323E-2</v>
      </c>
      <c r="L46" s="19" t="s">
        <v>245</v>
      </c>
      <c r="N46" s="17">
        <f>0.1*(((N$10-N$9)*(N$11-N$12)+N$13)+(N$10*(N$11-N$12)+N$13))*N$15^2*PI()^2*N$16*N$17*N$18/(12*33000)</f>
        <v>1.9872392384295692E-2</v>
      </c>
      <c r="O46" s="19" t="s">
        <v>444</v>
      </c>
      <c r="Q46" s="17">
        <f>0.1*(((Q$10-Q$9)*(Q$11-Q$12)+Q$13)+(Q$10*(Q$11-Q$12)+Q$13))*Q$15^2*PI()^2*Q$16*Q$17*Q$18/(60*10000000)</f>
        <v>0</v>
      </c>
      <c r="R46" s="19" t="s">
        <v>245</v>
      </c>
      <c r="T46" s="17">
        <f>0.1*(((T$10-T$9)*(T$11-T$12)+T$13)+(T$10*(T$11-T$12)+T$13))*T$15^2*PI()^2*T$16*T$17*T$18/(12*33000)</f>
        <v>0</v>
      </c>
      <c r="U46" s="19" t="s">
        <v>444</v>
      </c>
    </row>
    <row r="47" spans="2:21" ht="16.5" customHeight="1" x14ac:dyDescent="0.2">
      <c r="C47" s="20" t="s">
        <v>119</v>
      </c>
      <c r="E47" s="17">
        <f>E$21*E$22^2*E$23*E$24*E$25*(100*PI()^2)/(60*1000000000)</f>
        <v>0</v>
      </c>
      <c r="F47" s="19" t="s">
        <v>245</v>
      </c>
      <c r="H47" s="17">
        <f>H$21*H$22^2*H$23*H$24*H$25*(PI()^2/12)/(550*60)</f>
        <v>0</v>
      </c>
      <c r="I47" s="19" t="s">
        <v>444</v>
      </c>
      <c r="K47" s="17">
        <f>K$21*K$22^2*K$23*K$24*K$25*(100*PI()^2)/(60*1000000000)</f>
        <v>0</v>
      </c>
      <c r="L47" s="19" t="s">
        <v>245</v>
      </c>
      <c r="N47" s="17">
        <f>N$21*N$22^2*N$23*N$24*N$25*(PI()^2/12)/(550*60)</f>
        <v>0</v>
      </c>
      <c r="O47" s="19" t="s">
        <v>444</v>
      </c>
      <c r="Q47" s="17">
        <f>Q$21*Q$22^2*Q$23*Q$24*Q$25*(100*PI()^2)/(60*1000000000)</f>
        <v>1.4816272703497331</v>
      </c>
      <c r="R47" s="19" t="s">
        <v>245</v>
      </c>
      <c r="T47" s="17">
        <f>T$21*T$22^2*T$23*T$24*T$25*(PI()^2/12)/(550*60)</f>
        <v>1.9868984909607021</v>
      </c>
      <c r="U47" s="19" t="s">
        <v>444</v>
      </c>
    </row>
    <row r="48" spans="2:21" ht="13.5" thickBot="1" x14ac:dyDescent="0.25">
      <c r="B48" s="25"/>
      <c r="C48" s="37"/>
      <c r="D48" s="37"/>
      <c r="E48" s="37"/>
      <c r="F48" s="37"/>
      <c r="G48" s="37"/>
      <c r="H48" s="37"/>
      <c r="I48" s="37"/>
      <c r="J48" s="37"/>
      <c r="K48" s="37"/>
      <c r="L48" s="37"/>
      <c r="M48" s="37"/>
      <c r="N48" s="37"/>
      <c r="O48" s="37"/>
      <c r="P48" s="37"/>
      <c r="Q48" s="37"/>
      <c r="R48" s="37"/>
      <c r="S48" s="37"/>
      <c r="T48" s="37"/>
      <c r="U48" s="37"/>
    </row>
    <row r="49" spans="2:21" ht="25.5" customHeight="1" x14ac:dyDescent="0.2">
      <c r="B49" s="4" t="s">
        <v>453</v>
      </c>
      <c r="D49" s="13"/>
      <c r="I49" s="3"/>
    </row>
    <row r="50" spans="2:21" ht="17.25" customHeight="1" x14ac:dyDescent="0.2">
      <c r="C50" s="13" t="s">
        <v>447</v>
      </c>
      <c r="E50" s="22" t="str">
        <f>'INPUTS-OUTPUTS'!T30</f>
        <v>Sgl/23</v>
      </c>
      <c r="F50" s="21"/>
      <c r="K50" s="22" t="str">
        <f>'INPUTS-OUTPUTS'!AC30</f>
        <v>Sgl/32</v>
      </c>
      <c r="L50" s="21"/>
      <c r="Q50" s="22" t="str">
        <f>'INPUTS-OUTPUTS'!AL30</f>
        <v>Packing</v>
      </c>
      <c r="R50" s="21"/>
    </row>
    <row r="51" spans="2:21" ht="17.25" customHeight="1" x14ac:dyDescent="0.2">
      <c r="C51" s="13" t="s">
        <v>452</v>
      </c>
      <c r="E51" s="17">
        <f>VLOOKUP(E50,$C$30:$U$47,3,FALSE)</f>
        <v>0.14818813652340324</v>
      </c>
      <c r="F51" s="19" t="s">
        <v>245</v>
      </c>
      <c r="H51" s="17">
        <f>VLOOKUP(E50,$C$30:$U$47,6,FALSE)</f>
        <v>0.19872392384295692</v>
      </c>
      <c r="I51" s="19" t="s">
        <v>444</v>
      </c>
      <c r="K51" s="17">
        <f>VLOOKUP(K50,$C$30:$U$47,9,FALSE)</f>
        <v>0.14818813652340324</v>
      </c>
      <c r="L51" s="19" t="s">
        <v>245</v>
      </c>
      <c r="N51" s="17">
        <f>VLOOKUP(K50,$C$30:$U$47,12,FALSE)</f>
        <v>0.19872392384295692</v>
      </c>
      <c r="O51" s="19" t="s">
        <v>444</v>
      </c>
      <c r="Q51" s="17">
        <f>VLOOKUP(Q50,$C$30:$U$47,15,FALSE)</f>
        <v>1.4816272703497331</v>
      </c>
      <c r="R51" s="19" t="s">
        <v>245</v>
      </c>
      <c r="T51" s="17">
        <f>VLOOKUP(Q50,$C$30:$U$47,18,FALSE)</f>
        <v>1.9868984909607021</v>
      </c>
      <c r="U51" s="19" t="s">
        <v>444</v>
      </c>
    </row>
    <row r="52" spans="2:21" ht="17.25" customHeight="1" x14ac:dyDescent="0.2">
      <c r="C52" s="13" t="s">
        <v>451</v>
      </c>
      <c r="E52" s="17">
        <f>E51*E6</f>
        <v>0.14818813652340324</v>
      </c>
      <c r="F52" s="19" t="s">
        <v>245</v>
      </c>
      <c r="H52" s="17">
        <f>H51*E6</f>
        <v>0.19872392384295692</v>
      </c>
      <c r="I52" s="19" t="s">
        <v>444</v>
      </c>
      <c r="K52" s="17">
        <f>K51*K6</f>
        <v>0.14818813652340324</v>
      </c>
      <c r="L52" s="19" t="s">
        <v>245</v>
      </c>
      <c r="N52" s="17">
        <f>N51*K6</f>
        <v>0.19872392384295692</v>
      </c>
      <c r="O52" s="19" t="s">
        <v>444</v>
      </c>
      <c r="Q52" s="17">
        <f>Q51*Q6</f>
        <v>1.4816272703497331</v>
      </c>
      <c r="R52" s="19" t="s">
        <v>245</v>
      </c>
      <c r="T52" s="17">
        <f>T51*Q6</f>
        <v>1.9868984909607021</v>
      </c>
      <c r="U52" s="19" t="s">
        <v>444</v>
      </c>
    </row>
  </sheetData>
  <sheetProtection password="EFB4" sheet="1" selectLockedCells="1" selectUnlockedCells="1"/>
  <phoneticPr fontId="0" type="noConversion"/>
  <pageMargins left="0.7" right="0.7" top="0.75" bottom="0.75" header="0.3" footer="0.3"/>
  <pageSetup scale="57" orientation="landscape" horizontalDpi="1200" verticalDpi="1200" r:id="rId1"/>
  <headerFooter>
    <oddFooter>&amp;LCopyright Fluid Sealing Association 2014.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WELCOME</vt:lpstr>
      <vt:lpstr>COST DEFINITIONS</vt:lpstr>
      <vt:lpstr>FLUSH PLANS</vt:lpstr>
      <vt:lpstr>INPUTS-OUTPUTS</vt:lpstr>
      <vt:lpstr>ASSUMPTIONS</vt:lpstr>
      <vt:lpstr>ENERGY FOOTPRINT</vt:lpstr>
      <vt:lpstr>OPERATING COSTS</vt:lpstr>
      <vt:lpstr>BUSHING FLOW</vt:lpstr>
      <vt:lpstr>POWER CALCULATIONS</vt:lpstr>
      <vt:lpstr>REVISION HISTORY</vt:lpstr>
      <vt:lpstr>4.0 REVISION HISTORY DETAIL</vt:lpstr>
      <vt:lpstr>4.1 REVISION HISTORY DETAIL</vt:lpstr>
      <vt:lpstr>Sheet1</vt:lpstr>
      <vt:lpstr>ExchangeRate</vt:lpstr>
      <vt:lpstr>'4.0 REVISION HISTORY DETAIL'!Print_Area</vt:lpstr>
      <vt:lpstr>'4.1 REVISION HISTORY DETAIL'!Print_Area</vt:lpstr>
      <vt:lpstr>ASSUMPTIONS!Print_Area</vt:lpstr>
      <vt:lpstr>'BUSHING FLOW'!Print_Area</vt:lpstr>
      <vt:lpstr>'COST DEFINITIONS'!Print_Area</vt:lpstr>
      <vt:lpstr>'ENERGY FOOTPRINT'!Print_Area</vt:lpstr>
      <vt:lpstr>'FLUSH PLANS'!Print_Area</vt:lpstr>
      <vt:lpstr>'INPUTS-OUTPUTS'!Print_Area</vt:lpstr>
      <vt:lpstr>'OPERATING COSTS'!Print_Area</vt:lpstr>
      <vt:lpstr>'REVISION HISTORY'!Print_Area</vt:lpstr>
      <vt:lpstr>WELCOME!Print_Area</vt:lpstr>
      <vt:lpstr>ASSUMPTIONS!Print_Titles</vt:lpstr>
      <vt:lpstr>'BUSHING FLOW'!Print_Titles</vt:lpstr>
      <vt:lpstr>'ENERGY FOOTPRINT'!Print_Titles</vt:lpstr>
      <vt:lpstr>'FLUSH PLANS'!Print_Titles</vt:lpstr>
      <vt:lpstr>'INPUTS-OUTPUTS'!Print_Titles</vt:lpstr>
      <vt:lpstr>'OPERATING COSTS'!Print_Titles</vt:lpstr>
      <vt:lpstr>WELCOME!Print_Titles</vt:lpstr>
      <vt:lpstr>UnitsOfMeasure</vt:lpstr>
    </vt:vector>
  </TitlesOfParts>
  <Company>Fluid Sealing Association</Company>
  <LinksUpToDate>false</LinksUpToDate>
  <SharedDoc>false</SharedDoc>
  <HyperlinkBase>www.fluidsealing.com</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Life Cycle Cost Estimator</dc:title>
  <dc:creator>Mark Savage;Fluid Sealing Association</dc:creator>
  <cp:keywords>LCC Calculator</cp:keywords>
  <cp:lastModifiedBy>Mark Savage</cp:lastModifiedBy>
  <cp:lastPrinted>2014-06-09T14:35:35Z</cp:lastPrinted>
  <dcterms:created xsi:type="dcterms:W3CDTF">2012-11-21T15:00:09Z</dcterms:created>
  <dcterms:modified xsi:type="dcterms:W3CDTF">2014-06-09T14:42:05Z</dcterms:modified>
</cp:coreProperties>
</file>